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_Www\Adamant\"/>
    </mc:Choice>
  </mc:AlternateContent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Sheet1!$R$1:$R$211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0" i="1" l="1"/>
  <c r="R207" i="1"/>
  <c r="R192" i="1"/>
  <c r="R191" i="1"/>
  <c r="R190" i="1"/>
  <c r="R187" i="1"/>
  <c r="R186" i="1"/>
  <c r="R185" i="1"/>
  <c r="R184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4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87" i="1"/>
  <c r="R86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6" i="1"/>
  <c r="R55" i="1"/>
  <c r="R54" i="1"/>
  <c r="R53" i="1"/>
  <c r="R51" i="1"/>
  <c r="R50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1" i="1"/>
  <c r="R30" i="1"/>
  <c r="R29" i="1"/>
  <c r="R26" i="1"/>
  <c r="R25" i="1"/>
  <c r="R16" i="1"/>
  <c r="R15" i="1"/>
  <c r="R14" i="1"/>
  <c r="R13" i="1"/>
  <c r="R12" i="1"/>
  <c r="R11" i="1"/>
  <c r="R10" i="1"/>
  <c r="R9" i="1"/>
  <c r="R8" i="1"/>
  <c r="R7" i="1"/>
  <c r="R5" i="1"/>
  <c r="R4" i="1"/>
  <c r="R3" i="1"/>
  <c r="R2" i="1"/>
</calcChain>
</file>

<file path=xl/sharedStrings.xml><?xml version="1.0" encoding="utf-8"?>
<sst xmlns="http://schemas.openxmlformats.org/spreadsheetml/2006/main" count="1887" uniqueCount="535">
  <si>
    <t>Transect</t>
  </si>
  <si>
    <t xml:space="preserve">Sample </t>
  </si>
  <si>
    <t>Sample lenght</t>
  </si>
  <si>
    <t>Nr of MP objects</t>
  </si>
  <si>
    <t>Nr of categories</t>
  </si>
  <si>
    <t>OSPAR categories</t>
  </si>
  <si>
    <t>DOO, km</t>
  </si>
  <si>
    <t>FD, km</t>
  </si>
  <si>
    <t>LONG, km</t>
  </si>
  <si>
    <t>BAR, km</t>
  </si>
  <si>
    <t>PYR, km</t>
  </si>
  <si>
    <t>Substrate type</t>
  </si>
  <si>
    <t>Coast configuration</t>
  </si>
  <si>
    <t>Points</t>
  </si>
  <si>
    <t>Coordinates</t>
  </si>
  <si>
    <t>X</t>
  </si>
  <si>
    <t>Y</t>
  </si>
  <si>
    <t>Photo</t>
  </si>
  <si>
    <t>OSPAR MP categories</t>
  </si>
  <si>
    <t>Non-MP categories</t>
  </si>
  <si>
    <t>Comment</t>
  </si>
  <si>
    <t>Date</t>
  </si>
  <si>
    <t>Time</t>
  </si>
  <si>
    <t>Gipsvika</t>
  </si>
  <si>
    <t>GV01</t>
  </si>
  <si>
    <t>8.4</t>
  </si>
  <si>
    <t>Cobble</t>
  </si>
  <si>
    <t>Straight shore</t>
  </si>
  <si>
    <t>78° 25′ 24″ N   16° 35′ 26″ E</t>
  </si>
  <si>
    <t>78.4233333333333</t>
  </si>
  <si>
    <t>16.5905555555556</t>
  </si>
  <si>
    <t>-</t>
  </si>
  <si>
    <t>Start point</t>
  </si>
  <si>
    <t>78° 25′ 23″ N   16° 35′ 23″ E</t>
  </si>
  <si>
    <t>78.4230555555556</t>
  </si>
  <si>
    <t>16.5897222222222</t>
  </si>
  <si>
    <t>Objects</t>
  </si>
  <si>
    <t>GV02</t>
  </si>
  <si>
    <t>46, 48</t>
  </si>
  <si>
    <t>78° 25′ 19″ N   16° 35′ 22″ E</t>
  </si>
  <si>
    <t>78.4219444444444</t>
  </si>
  <si>
    <t>16.5894444444444</t>
  </si>
  <si>
    <t>78° 25′ 19″ N   16° 35′ 21″ E</t>
  </si>
  <si>
    <t>16.5891666666667</t>
  </si>
  <si>
    <t>GV03</t>
  </si>
  <si>
    <t>Empty</t>
  </si>
  <si>
    <t>GV04</t>
  </si>
  <si>
    <t>21, 46</t>
  </si>
  <si>
    <t>78° 25′ 13″ N   16° 35′ 19″ E</t>
  </si>
  <si>
    <t>78.4202777777778</t>
  </si>
  <si>
    <t>16.5886111111111</t>
  </si>
  <si>
    <t>78° 25′ 12″ N   16° 35′ 18″ E</t>
  </si>
  <si>
    <t>78.42</t>
  </si>
  <si>
    <t>16.5883333333333</t>
  </si>
  <si>
    <t>78° 25′ 10″ N   16° 35′ 18″ E</t>
  </si>
  <si>
    <t>78.4194444444445</t>
  </si>
  <si>
    <t>End point</t>
  </si>
  <si>
    <t>Gipsshukoden</t>
  </si>
  <si>
    <t>2, 13, 32, 39, 44, 46(x4), 47, 48(x3), 117(x3)</t>
  </si>
  <si>
    <t>Embayment</t>
  </si>
  <si>
    <t>78° 26′ 14″ N   16° 23′ 40″ E</t>
  </si>
  <si>
    <t>78.4372222222222</t>
  </si>
  <si>
    <t>16.3944444444444</t>
  </si>
  <si>
    <t>78° 26′ 15″ N   16° 23′ 45″ E</t>
  </si>
  <si>
    <t>78.4375</t>
  </si>
  <si>
    <t>16.3958333333333</t>
  </si>
  <si>
    <t>118*</t>
  </si>
  <si>
    <t>Same object*</t>
  </si>
  <si>
    <t>78° 26′ 12″ N   16° 23′ 48″ E</t>
  </si>
  <si>
    <t>78.4366666666667</t>
  </si>
  <si>
    <t>16.3966666666667</t>
  </si>
  <si>
    <t>End point, objects</t>
  </si>
  <si>
    <t>Yoldiabukta (N)</t>
  </si>
  <si>
    <t>YN01</t>
  </si>
  <si>
    <t>48, 117</t>
  </si>
  <si>
    <t>12.6</t>
  </si>
  <si>
    <t>78° 32′ 44″ N   14° 32′ 11″ E</t>
  </si>
  <si>
    <t>78.5455555555556</t>
  </si>
  <si>
    <t>14.5363888888889</t>
  </si>
  <si>
    <t>Start point, objects</t>
  </si>
  <si>
    <t>78° 32′ 41″ N   14° 32′ 5″ E</t>
  </si>
  <si>
    <t>78.5447222222222</t>
  </si>
  <si>
    <t>14.5347222222222</t>
  </si>
  <si>
    <t>YN02</t>
  </si>
  <si>
    <t>YN03</t>
  </si>
  <si>
    <t>YN04</t>
  </si>
  <si>
    <t>YN05</t>
  </si>
  <si>
    <t>Cape</t>
  </si>
  <si>
    <t>YN06</t>
  </si>
  <si>
    <t>YN07</t>
  </si>
  <si>
    <t>Sandy</t>
  </si>
  <si>
    <t>YN08</t>
  </si>
  <si>
    <t>YN09</t>
  </si>
  <si>
    <t>YN10</t>
  </si>
  <si>
    <t>3, 37, 117(x3)</t>
  </si>
  <si>
    <t>78° 32′ 46″ N   14° 33′ 41″ E</t>
  </si>
  <si>
    <t>78.5461111111111</t>
  </si>
  <si>
    <t>14.5613888888889</t>
  </si>
  <si>
    <t>78° 32′ 45″ N   14° 33′ 41″ E</t>
  </si>
  <si>
    <t>78.5458333333333</t>
  </si>
  <si>
    <t>3, 117(x3)</t>
  </si>
  <si>
    <t>YN11</t>
  </si>
  <si>
    <t>YN12</t>
  </si>
  <si>
    <t>YN13</t>
  </si>
  <si>
    <t>46(x2), 48</t>
  </si>
  <si>
    <t>78° 32′ 53″ N   14° 33′ 1″ E</t>
  </si>
  <si>
    <t>78.5480555555555</t>
  </si>
  <si>
    <t>14.5502777777778</t>
  </si>
  <si>
    <t>78° 32′ 53″ N   14° 32′ 59″ E</t>
  </si>
  <si>
    <t>14.5497222222222</t>
  </si>
  <si>
    <t>Yoldiabukta (S)</t>
  </si>
  <si>
    <t>YS01</t>
  </si>
  <si>
    <t>6.6</t>
  </si>
  <si>
    <t>78° 28′ 20″ N   14° 21′ 59″ E</t>
  </si>
  <si>
    <t>78.4722222222222</t>
  </si>
  <si>
    <t>14.3663888888889</t>
  </si>
  <si>
    <t>YS02</t>
  </si>
  <si>
    <t>YS03</t>
  </si>
  <si>
    <t>7, 33</t>
  </si>
  <si>
    <t>78° 28′ 21″ N   14° 22′ 39″ E</t>
  </si>
  <si>
    <t>78.4725</t>
  </si>
  <si>
    <t>14.3775</t>
  </si>
  <si>
    <t>78° 28′ 20″ N   14° 22′ 39″ E</t>
  </si>
  <si>
    <t>YS04</t>
  </si>
  <si>
    <t xml:space="preserve">37(x2), 46 </t>
  </si>
  <si>
    <t>78° 28′ 20″ N   14° 22′ 51″ E</t>
  </si>
  <si>
    <t>14.3808333333333</t>
  </si>
  <si>
    <t>78° 28′ 21″ N   14° 23′ 0″ E</t>
  </si>
  <si>
    <t>14.3833333333333</t>
  </si>
  <si>
    <t>78° 28′ 20″ N   14° 22′ 59″ E</t>
  </si>
  <si>
    <t>14.3830555555556</t>
  </si>
  <si>
    <t>YS05</t>
  </si>
  <si>
    <t>78° 28′ 20″ N   14° 23′ 15″ E</t>
  </si>
  <si>
    <t>14.3875</t>
  </si>
  <si>
    <t>YS06</t>
  </si>
  <si>
    <t>4, 32, 46</t>
  </si>
  <si>
    <t>78° 28′ 20″ N   14° 23′ 21″ E</t>
  </si>
  <si>
    <t>14.3891666666667</t>
  </si>
  <si>
    <t>78° 28′ 19″ N   14° 23′ 30″ E</t>
  </si>
  <si>
    <t>78.4719444444444</t>
  </si>
  <si>
    <t>14.3916666666667</t>
  </si>
  <si>
    <t>78° 28′ 19″ N   14° 23′ 32″ E</t>
  </si>
  <si>
    <t>14.3922222222222</t>
  </si>
  <si>
    <t>YS07</t>
  </si>
  <si>
    <t>78° 28′ 18″ N   14° 23′ 40″ E</t>
  </si>
  <si>
    <t>78.4716666666667</t>
  </si>
  <si>
    <t>14.3944444444444</t>
  </si>
  <si>
    <t>YS08</t>
  </si>
  <si>
    <t>12, 46, 48</t>
  </si>
  <si>
    <t>78° 28′ 18″ N   14° 23′ 54″ E</t>
  </si>
  <si>
    <t>14.3983333333333</t>
  </si>
  <si>
    <t>78° 28′ 17″ N   14° 24′ 1″ E</t>
  </si>
  <si>
    <t>78.4713888888889</t>
  </si>
  <si>
    <t>14.4002777777778</t>
  </si>
  <si>
    <t>YS09</t>
  </si>
  <si>
    <t>78° 28′ 18″ N   14° 24′ 12″ E</t>
  </si>
  <si>
    <t>14.4033333333333</t>
  </si>
  <si>
    <t>78° 28′ 17″ N   14° 24′ 5″ E</t>
  </si>
  <si>
    <t>14.4013888888889</t>
  </si>
  <si>
    <t>46(x2)</t>
  </si>
  <si>
    <t>YS10</t>
  </si>
  <si>
    <t>YS11</t>
  </si>
  <si>
    <t>15, 32</t>
  </si>
  <si>
    <t>78° 28′ 19″ N   14° 24′ 51″ E</t>
  </si>
  <si>
    <t>14.4141666666667</t>
  </si>
  <si>
    <t>78° 28′ 18″ N   14° 24′ 51″ E</t>
  </si>
  <si>
    <t>YS12</t>
  </si>
  <si>
    <t>YS13</t>
  </si>
  <si>
    <t>2, 32(x2), 39, 45, 46, 48</t>
  </si>
  <si>
    <t>78° 28′ 18″ N   14° 25′ 31″ E</t>
  </si>
  <si>
    <t>14.4252777777778</t>
  </si>
  <si>
    <t>32(x2)</t>
  </si>
  <si>
    <t>78° 28′ 20″ N   14° 25′ 24″ E</t>
  </si>
  <si>
    <t>14.4233333333333</t>
  </si>
  <si>
    <t>2, 39, 45, 46, 48</t>
  </si>
  <si>
    <t>YS14</t>
  </si>
  <si>
    <t>4, 48</t>
  </si>
  <si>
    <t>78° 28′ 20″ N   14° 25′ 29″ E</t>
  </si>
  <si>
    <t>14.4247222222222</t>
  </si>
  <si>
    <t>YS15</t>
  </si>
  <si>
    <t>YS16</t>
  </si>
  <si>
    <t>YS17</t>
  </si>
  <si>
    <t>4, 15, 37(x2), 46(x4)</t>
  </si>
  <si>
    <t>78° 28′ 20″ N   14° 26′ 12″ E</t>
  </si>
  <si>
    <t>14.4366666666667</t>
  </si>
  <si>
    <t>4, 37, 46</t>
  </si>
  <si>
    <t>15, 46</t>
  </si>
  <si>
    <t>78° 28′ 20″ N   14° 26′ 21″ E</t>
  </si>
  <si>
    <t>14.4391666666667</t>
  </si>
  <si>
    <t>1*</t>
  </si>
  <si>
    <t>37*</t>
  </si>
  <si>
    <t>78° 28′ 20″ N   14° 26′ 22″ E</t>
  </si>
  <si>
    <t>14.4394444444444</t>
  </si>
  <si>
    <t>YS18</t>
  </si>
  <si>
    <t>15, 46(x2)</t>
  </si>
  <si>
    <t>78° 28′ 20″ N   14° 26′ 30″ E</t>
  </si>
  <si>
    <t>14.4416666666667</t>
  </si>
  <si>
    <t>78° 28′ 19″ N   14° 26′ 39″ E</t>
  </si>
  <si>
    <t>14.4441666666667</t>
  </si>
  <si>
    <t>YS19</t>
  </si>
  <si>
    <t>39, 48</t>
  </si>
  <si>
    <t>78° 28′ 18″ N   14° 26′ 50″ E</t>
  </si>
  <si>
    <t>14.4472222222222</t>
  </si>
  <si>
    <t>78° 28′ 18″ N   14° 26′ 48″ E</t>
  </si>
  <si>
    <t>14.4466666666667</t>
  </si>
  <si>
    <t>YS20</t>
  </si>
  <si>
    <t>78° 28′ 18″ N   14° 27′ 14″ E</t>
  </si>
  <si>
    <t>14.4538888888889</t>
  </si>
  <si>
    <t>YS21</t>
  </si>
  <si>
    <t>78° 28′ 17″ N   14° 27′ 15″ E</t>
  </si>
  <si>
    <t>14.4541666666667</t>
  </si>
  <si>
    <t>78° 28′ 19″ N   14° 27′ 28″ E</t>
  </si>
  <si>
    <t>14.4577777777778</t>
  </si>
  <si>
    <t>Borebukta</t>
  </si>
  <si>
    <t>BO01</t>
  </si>
  <si>
    <t>3, 4, 7(x2), 15(x5), 39, 45, 46(x5), 48(x2), 117</t>
  </si>
  <si>
    <t>10.1</t>
  </si>
  <si>
    <t>78° 22′ 43″ N   14° 23′ 23″ E</t>
  </si>
  <si>
    <t>78.3786111111111</t>
  </si>
  <si>
    <t>14.3897222222222</t>
  </si>
  <si>
    <t>78° 22′ 42″ N   14° 23′ 24″ E</t>
  </si>
  <si>
    <t>78.3783333333333</t>
  </si>
  <si>
    <t>14.39</t>
  </si>
  <si>
    <t>15, 117</t>
  </si>
  <si>
    <t>78° 22′ 42″ N   14° 23′ 23″ E</t>
  </si>
  <si>
    <t>78° 22′ 41″ N   14° 23′ 22″ E</t>
  </si>
  <si>
    <t>78.3780555555555</t>
  </si>
  <si>
    <t>14.3894444444444</t>
  </si>
  <si>
    <t>3, 39, 46</t>
  </si>
  <si>
    <t>7, 15</t>
  </si>
  <si>
    <t>78° 22′ 42″ N   14° 23′ 26″ E</t>
  </si>
  <si>
    <t>14.3905555555556</t>
  </si>
  <si>
    <t>7, 15, 46, 48</t>
  </si>
  <si>
    <t>78° 22′ 41″ N   14° 23′ 26″ E</t>
  </si>
  <si>
    <t>91 (x2)</t>
  </si>
  <si>
    <t>78° 22′ 40″ N   14° 23′ 25″ E</t>
  </si>
  <si>
    <t>78.3777777777778</t>
  </si>
  <si>
    <t>14.3902777777778</t>
  </si>
  <si>
    <t>45, 46</t>
  </si>
  <si>
    <t>BO02</t>
  </si>
  <si>
    <t>78° 22′ 40″ N   14° 23′ 28″ E</t>
  </si>
  <si>
    <t>14.3911111111111</t>
  </si>
  <si>
    <t>66 (x2)</t>
  </si>
  <si>
    <t>BO03</t>
  </si>
  <si>
    <t>BO04</t>
  </si>
  <si>
    <t>4, 46, 48</t>
  </si>
  <si>
    <t>78° 22′ 34″ N   14° 23′ 36″ E</t>
  </si>
  <si>
    <t>78.3761111111111</t>
  </si>
  <si>
    <t>14.3933333333333</t>
  </si>
  <si>
    <t>78° 22′ 33″ N   14° 23′ 40″ E</t>
  </si>
  <si>
    <t>78.3758333333333</t>
  </si>
  <si>
    <t>BO05</t>
  </si>
  <si>
    <t>BO06</t>
  </si>
  <si>
    <t>BO07</t>
  </si>
  <si>
    <t>BO08</t>
  </si>
  <si>
    <t>BO09</t>
  </si>
  <si>
    <t>5(x2), 10, 15(x6), 32, 43, 46(x10), 115(x2)</t>
  </si>
  <si>
    <t>78° 22′ 20″ N   14° 24′ 19″ E</t>
  </si>
  <si>
    <t>78.3722222222222</t>
  </si>
  <si>
    <t>14.4052777777778</t>
  </si>
  <si>
    <t>78° 22′ 19″ N   14° 24′ 18″ E</t>
  </si>
  <si>
    <t>78.3719444444444</t>
  </si>
  <si>
    <t>14.405</t>
  </si>
  <si>
    <t>78° 22′ 19″ N   14° 24′ 19″ E</t>
  </si>
  <si>
    <t>5(x2), 15(x4), 32, 43, 46(x9)</t>
  </si>
  <si>
    <t>91, 96</t>
  </si>
  <si>
    <t>78° 22′ 18″ N   14° 24′ 18″ E</t>
  </si>
  <si>
    <t>78.3716666666667</t>
  </si>
  <si>
    <t xml:space="preserve"> 46, 115</t>
  </si>
  <si>
    <t>78° 22′ 17″ N   14° 24′ 18″ E</t>
  </si>
  <si>
    <t>78.3713888888889</t>
  </si>
  <si>
    <t>BO10</t>
  </si>
  <si>
    <t>3, 7, 46(x2)</t>
  </si>
  <si>
    <t>78° 22′ 16″ N   14° 24′ 18″ E</t>
  </si>
  <si>
    <t>78.3711111111111</t>
  </si>
  <si>
    <t>7, 46</t>
  </si>
  <si>
    <t>78° 22′ 15″ N   14° 24′ 17″ E</t>
  </si>
  <si>
    <t>78.3708333333333</t>
  </si>
  <si>
    <t>14.4047222222222</t>
  </si>
  <si>
    <t>3, 46</t>
  </si>
  <si>
    <t>BO11</t>
  </si>
  <si>
    <t>78° 22′ 14″ N   14° 24′ 19″ E</t>
  </si>
  <si>
    <t>78.3705555555556</t>
  </si>
  <si>
    <t>BO12</t>
  </si>
  <si>
    <t>3, 32, 39, 46(x4), 48</t>
  </si>
  <si>
    <t>78° 22′ 10″ N   14° 24′ 24″ E</t>
  </si>
  <si>
    <t>78.3694444444444</t>
  </si>
  <si>
    <t>14.4066666666667</t>
  </si>
  <si>
    <t>78° 22′ 10″ N   14° 24′ 23″ E</t>
  </si>
  <si>
    <t>14.4063888888889</t>
  </si>
  <si>
    <t>78° 22′ 9″ N   14° 24′ 27″ E</t>
  </si>
  <si>
    <t>78.3691666666667</t>
  </si>
  <si>
    <t>14.4075</t>
  </si>
  <si>
    <t>78° 22′ 9″ N   14° 24′ 30″ E</t>
  </si>
  <si>
    <t>14.4083333333333</t>
  </si>
  <si>
    <t>32, 46</t>
  </si>
  <si>
    <t>78° 22′ 10″ N   14° 24′ 28″ E</t>
  </si>
  <si>
    <t>14.4077777777778</t>
  </si>
  <si>
    <t>78° 22′ 9″ N   14° 24′ 28″ E</t>
  </si>
  <si>
    <t>BO13</t>
  </si>
  <si>
    <t>78° 22′ 6″ N   14° 24′ 39″ E</t>
  </si>
  <si>
    <t>78.3683333333333</t>
  </si>
  <si>
    <t>14.4108333333333</t>
  </si>
  <si>
    <t>End pont, objects</t>
  </si>
  <si>
    <t>Eidembukta</t>
  </si>
  <si>
    <t>ED01</t>
  </si>
  <si>
    <t>45.9</t>
  </si>
  <si>
    <t>78° 22′ 13″ N   12° 47′ 6″ E</t>
  </si>
  <si>
    <t>78.3702777777778</t>
  </si>
  <si>
    <t>12.785</t>
  </si>
  <si>
    <t>78° 22′ 16″ N   12° 47′ 17″ E</t>
  </si>
  <si>
    <t>12.7880555555556</t>
  </si>
  <si>
    <t>78° 22′ 15″ N   12° 47′ 17″ E</t>
  </si>
  <si>
    <t>ED02</t>
  </si>
  <si>
    <t>ED03</t>
  </si>
  <si>
    <t>78° 22′ 10″ N   12° 47′ 36″ E</t>
  </si>
  <si>
    <t>12.7933333333333</t>
  </si>
  <si>
    <t>ED04</t>
  </si>
  <si>
    <t>ED05</t>
  </si>
  <si>
    <t>ED06</t>
  </si>
  <si>
    <t>12, 32, 33(x2), 44, 46</t>
  </si>
  <si>
    <t>78° 22′ 11″ N   12° 48′ 35″ E</t>
  </si>
  <si>
    <t>78.3697222222222</t>
  </si>
  <si>
    <t>12.8097222222222</t>
  </si>
  <si>
    <t>78° 22′ 11″ N   12° 48′ 34″ E</t>
  </si>
  <si>
    <t>12.8094444444444</t>
  </si>
  <si>
    <t>78° 22′ 12″ N   12° 48′ 33″ E</t>
  </si>
  <si>
    <t>78.37</t>
  </si>
  <si>
    <t>12.8091666666667</t>
  </si>
  <si>
    <t>32, 33</t>
  </si>
  <si>
    <t>78° 22′ 12″ N   12° 48′ 31″ E</t>
  </si>
  <si>
    <t>12.8086111111111</t>
  </si>
  <si>
    <t>ED07</t>
  </si>
  <si>
    <t>7, 15, 23, 25, 46(x3), 117</t>
  </si>
  <si>
    <t>78° 22′ 11″ N   12° 48′ 47″ E</t>
  </si>
  <si>
    <t>12.8130555555556</t>
  </si>
  <si>
    <t>78° 22′ 11″ N   12° 48′ 46″ E</t>
  </si>
  <si>
    <t>12.8127777777778</t>
  </si>
  <si>
    <t>78° 22′ 9″ N   12° 48′ 35″ E</t>
  </si>
  <si>
    <t>12.8105555555556</t>
  </si>
  <si>
    <t>7*</t>
  </si>
  <si>
    <t>78° 22′ 10″ N   12° 48′ 39″ E</t>
  </si>
  <si>
    <t>12.8108333333333</t>
  </si>
  <si>
    <t>78° 22′ 11″ N   12° 48′ 38″ E</t>
  </si>
  <si>
    <t>78° 22′ 11″ N   12° 48′ 37″ E</t>
  </si>
  <si>
    <t>12.8102777777778</t>
  </si>
  <si>
    <t>ED08</t>
  </si>
  <si>
    <t>3, 10, 32, 46(x2), 48</t>
  </si>
  <si>
    <t>78° 22′ 9″ N   12° 48′ 47″ E</t>
  </si>
  <si>
    <t>32, 48</t>
  </si>
  <si>
    <t>78° 22′ 9″ N   12° 48′ 51″ E</t>
  </si>
  <si>
    <t>12.8141666666667</t>
  </si>
  <si>
    <t>78° 22′ 9″ N   12° 48′ 52″ E</t>
  </si>
  <si>
    <t>12.8144444444444</t>
  </si>
  <si>
    <t>78° 22′ 9″ N   12° 48′ 54″ E</t>
  </si>
  <si>
    <t>12.815</t>
  </si>
  <si>
    <t>78° 22′ 9″ N   12° 48′ 53″ E</t>
  </si>
  <si>
    <t>12.8147222222222</t>
  </si>
  <si>
    <t>ED09</t>
  </si>
  <si>
    <t>4, 32, 33, 43, 46</t>
  </si>
  <si>
    <t>78° 22′ 7″ N   12° 49′ 10″ E</t>
  </si>
  <si>
    <t>78.3686111111111</t>
  </si>
  <si>
    <t>12.8194444444444</t>
  </si>
  <si>
    <t>78° 22′ 8″ N   12° 49′ 9″ E</t>
  </si>
  <si>
    <t>78.3688888888889</t>
  </si>
  <si>
    <t>12.8191666666667</t>
  </si>
  <si>
    <t>78° 22′ 6″ N   12° 49′ 12″ E</t>
  </si>
  <si>
    <t>12.82</t>
  </si>
  <si>
    <t>4, 33</t>
  </si>
  <si>
    <t>78° 22′ 6″ N   12° 49′ 11″ E</t>
  </si>
  <si>
    <t>12.8197222222222</t>
  </si>
  <si>
    <t>ED10</t>
  </si>
  <si>
    <t>78° 22′ 5″ N   12° 49′ 13″ E</t>
  </si>
  <si>
    <t>78.3680555555555</t>
  </si>
  <si>
    <t>12.8202777777778</t>
  </si>
  <si>
    <t>78° 22′ 5″ N   12° 49′ 15″ E</t>
  </si>
  <si>
    <t>12.8208333333333</t>
  </si>
  <si>
    <t>78° 22′ 5″ N   12° 49′ 9″ E</t>
  </si>
  <si>
    <t>ED11</t>
  </si>
  <si>
    <t>12, 15(x2), 16, 31, 32(x3), 33, 37, 46(x5), 48(x3), 117(x2)</t>
  </si>
  <si>
    <t>78° 22′ 5″ N   12° 49′ 30″ E</t>
  </si>
  <si>
    <t>12.825</t>
  </si>
  <si>
    <t>12, 33</t>
  </si>
  <si>
    <t>91, 93</t>
  </si>
  <si>
    <t>78° 22′ 5″ N   12° 49′ 33″ E</t>
  </si>
  <si>
    <t>12.8258333333333</t>
  </si>
  <si>
    <t>78° 22′ 4″ N   12° 49′ 32″ E</t>
  </si>
  <si>
    <t>78.3677777777778</t>
  </si>
  <si>
    <t>12.8255555555556</t>
  </si>
  <si>
    <t>78° 22′ 5″ N   12° 49′ 41″ E</t>
  </si>
  <si>
    <t>12.8280555555556</t>
  </si>
  <si>
    <t>15, 16, 31, 32(x3), 37, 46(x4), 48 (x2), 117 (x2)</t>
  </si>
  <si>
    <t>ED12</t>
  </si>
  <si>
    <t>12, 32, 46(x5)</t>
  </si>
  <si>
    <t>78° 22′ 4″ N   12° 49′ 42″ E</t>
  </si>
  <si>
    <t>12.8283333333333</t>
  </si>
  <si>
    <t>78° 22′ 4″ N   12° 49′ 45″ E</t>
  </si>
  <si>
    <t>12.8291666666667</t>
  </si>
  <si>
    <t>12, 46</t>
  </si>
  <si>
    <t>91(x2)</t>
  </si>
  <si>
    <t>78° 22′ 4″ N   12° 49′ 44″ E</t>
  </si>
  <si>
    <t>12.8288888888889</t>
  </si>
  <si>
    <t>78° 22′ 3″ N   12° 49′ 47″ E</t>
  </si>
  <si>
    <t>78.3675</t>
  </si>
  <si>
    <t>12.8297222222222</t>
  </si>
  <si>
    <t>ED13</t>
  </si>
  <si>
    <t>5, 32, 33, 46(x2)</t>
  </si>
  <si>
    <t>78° 22′ 0″ N   12° 49′ 55″ E</t>
  </si>
  <si>
    <t>78.3666666666667</t>
  </si>
  <si>
    <t>12.8319444444444</t>
  </si>
  <si>
    <t>78° 22′ 0″ N   12° 49′ 54″ E</t>
  </si>
  <si>
    <t>12.8316666666667</t>
  </si>
  <si>
    <t>32, 33, 46</t>
  </si>
  <si>
    <t>78° 21′ 59″ N   12° 49′ 29″ E</t>
  </si>
  <si>
    <t>78.3663888888889</t>
  </si>
  <si>
    <t>12.8247222222222</t>
  </si>
  <si>
    <t>St. Jonsfjorden</t>
  </si>
  <si>
    <t>SJ01</t>
  </si>
  <si>
    <t>6.7</t>
  </si>
  <si>
    <t>78° 30′ 6″ N   12° 55′ 9″ E</t>
  </si>
  <si>
    <t>78.5016666666667</t>
  </si>
  <si>
    <t>12.9191666666667</t>
  </si>
  <si>
    <t>SJ02</t>
  </si>
  <si>
    <t>78° 30′ 9″ N   12° 55′ 29″ E</t>
  </si>
  <si>
    <t>78.5025</t>
  </si>
  <si>
    <t>12.9247222222222</t>
  </si>
  <si>
    <t>SJ03</t>
  </si>
  <si>
    <t>78° 30′ 13″ N   12° 55′ 35″ E</t>
  </si>
  <si>
    <t>78.5036111111111</t>
  </si>
  <si>
    <t>12.9263888888889</t>
  </si>
  <si>
    <t>SJ04</t>
  </si>
  <si>
    <t>SJ05</t>
  </si>
  <si>
    <t>3, 32(x2), 46(x2)</t>
  </si>
  <si>
    <t>78° 30′ 19″ N   12° 55′ 49″ E</t>
  </si>
  <si>
    <t>78.5052777777778</t>
  </si>
  <si>
    <t>12.9302777777778</t>
  </si>
  <si>
    <t>3, 32(x2)</t>
  </si>
  <si>
    <t>78° 30′ 18″ N   12° 55′ 45″ E</t>
  </si>
  <si>
    <t>78.505</t>
  </si>
  <si>
    <t>12.9291666666667</t>
  </si>
  <si>
    <t>SJ06</t>
  </si>
  <si>
    <t>78° 30′ 20″ N   12° 55′ 58″ E</t>
  </si>
  <si>
    <t>78.5055555555556</t>
  </si>
  <si>
    <t>12.9327777777778</t>
  </si>
  <si>
    <t>SJ07</t>
  </si>
  <si>
    <t>32(x2), 33</t>
  </si>
  <si>
    <t>78° 30′ 20″ N   12° 56′ 11″ E</t>
  </si>
  <si>
    <t>12.9363888888889</t>
  </si>
  <si>
    <t>78° 30′ 20″ N   12° 56′ 14″ E</t>
  </si>
  <si>
    <t>12.9372222222222</t>
  </si>
  <si>
    <t>78° 30′ 19″ N   12° 56′ 14″ E</t>
  </si>
  <si>
    <t>SJ08</t>
  </si>
  <si>
    <t>78° 30′ 20″ N   12° 56′ 32″ E</t>
  </si>
  <si>
    <t>12.9422222222222</t>
  </si>
  <si>
    <t>32*</t>
  </si>
  <si>
    <t>Same object</t>
  </si>
  <si>
    <t>SJ09</t>
  </si>
  <si>
    <t>31, 32, 39(x2), 46</t>
  </si>
  <si>
    <t>78° 30′ 19″ N   12° 56′ 32″ E</t>
  </si>
  <si>
    <t>78° 0′ 20″ N   12° 56′ 39″ E</t>
  </si>
  <si>
    <t>12.9441666666667</t>
  </si>
  <si>
    <t>78° 30′ 20″ N   12° 56′ 38″ E</t>
  </si>
  <si>
    <t>12.9438888888889</t>
  </si>
  <si>
    <t>31, 32</t>
  </si>
  <si>
    <t>78° 30′ 18″ N   12° 56′ 31″ E</t>
  </si>
  <si>
    <t>12.9419444444444</t>
  </si>
  <si>
    <t>Dalhbrebukta</t>
  </si>
  <si>
    <t>DH01</t>
  </si>
  <si>
    <t>15, 33, 37, 46(x2), 115(x2)</t>
  </si>
  <si>
    <t>78° 33′ 43″ N   12° 23′ 38″ E</t>
  </si>
  <si>
    <t>78.5619444444444</t>
  </si>
  <si>
    <t>12.3938888888889</t>
  </si>
  <si>
    <t xml:space="preserve"> 15, 37, 46, 115</t>
  </si>
  <si>
    <t>78° 33′ 43″ N   12° 23′ 37″ E</t>
  </si>
  <si>
    <t>12.3936111111111</t>
  </si>
  <si>
    <t>78° 33′ 43″ N   12° 23′ 39″ E</t>
  </si>
  <si>
    <t>12.3941666666667</t>
  </si>
  <si>
    <t>33, 46</t>
  </si>
  <si>
    <t>DH02</t>
  </si>
  <si>
    <t>DH03</t>
  </si>
  <si>
    <t>DH04</t>
  </si>
  <si>
    <t>DH05</t>
  </si>
  <si>
    <t>DH06</t>
  </si>
  <si>
    <t>DH07</t>
  </si>
  <si>
    <t>DH08</t>
  </si>
  <si>
    <t>78° 33′ 52″ N   12° 25′ 16″ E</t>
  </si>
  <si>
    <t>78.5644444444444</t>
  </si>
  <si>
    <t>12.4211111111111</t>
  </si>
  <si>
    <t>DH09</t>
  </si>
  <si>
    <t>33(x2)</t>
  </si>
  <si>
    <t>78° 33′ 51″ N   12° 25′ 31″ E</t>
  </si>
  <si>
    <t>78.5641666666667</t>
  </si>
  <si>
    <t>12.4252777777778</t>
  </si>
  <si>
    <t>DH10</t>
  </si>
  <si>
    <t>78° 33′ 51″ N   12° 25′ 40″ E</t>
  </si>
  <si>
    <t>12.4277777777778</t>
  </si>
  <si>
    <t>DH11</t>
  </si>
  <si>
    <t>DH12</t>
  </si>
  <si>
    <t>DH13</t>
  </si>
  <si>
    <t>78° 33′ 58″ N   12° 26′ 30″ E</t>
  </si>
  <si>
    <t>78.5661111111111</t>
  </si>
  <si>
    <t>12.4416666666667</t>
  </si>
  <si>
    <t>Trygghamna</t>
  </si>
  <si>
    <t>TG01</t>
  </si>
  <si>
    <t>78° 15′ 6″ N   13° 44′ 17″ E</t>
  </si>
  <si>
    <t>78.2516666666667</t>
  </si>
  <si>
    <t>13.7380555555556</t>
  </si>
  <si>
    <t>78° 15′ 5″ N   13° 44′ 16″ E</t>
  </si>
  <si>
    <t>78.2513888888889</t>
  </si>
  <si>
    <t>13.7377777777778</t>
  </si>
  <si>
    <t>TG02</t>
  </si>
  <si>
    <t>TG03</t>
  </si>
  <si>
    <t>TG04</t>
  </si>
  <si>
    <t>TG05</t>
  </si>
  <si>
    <t>TG06</t>
  </si>
  <si>
    <t>TG07</t>
  </si>
  <si>
    <t>TG08</t>
  </si>
  <si>
    <t>TG09</t>
  </si>
  <si>
    <t>TG10</t>
  </si>
  <si>
    <t>TG11</t>
  </si>
  <si>
    <t>TG12</t>
  </si>
  <si>
    <t>TG13</t>
  </si>
  <si>
    <t>TG14</t>
  </si>
  <si>
    <t>TG15</t>
  </si>
  <si>
    <t>TG16</t>
  </si>
  <si>
    <t>46, 117</t>
  </si>
  <si>
    <t>78° 15′ 39″ N   13° 42′ 7″ E</t>
  </si>
  <si>
    <t>78.2608333333333</t>
  </si>
  <si>
    <t>13.7019444444444</t>
  </si>
  <si>
    <t>TG17</t>
  </si>
  <si>
    <t>TG18</t>
  </si>
  <si>
    <t>TG19</t>
  </si>
  <si>
    <t>78° 15′ 47″ N   13° 41′ 37″ E</t>
  </si>
  <si>
    <t>78.2630555555556</t>
  </si>
  <si>
    <t>13.6936111111111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</si>
</sst>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  <charset val="238"/>
    </font>
    <font>
      <sz val="11"/>
      <color theme="1"/>
      <name val="Times New Roman"/>
    </font>
    <font>
      <b/>
      <sz val="9"/>
      <color rgb="FF000000"/>
      <name val="Arial"/>
      <family val="2"/>
      <charset val="238"/>
    </font>
    <font>
      <sz val="11"/>
      <color rgb="FF000000"/>
      <name val="Times New Roman"/>
    </font>
    <font>
      <sz val="11"/>
      <name val="Times New Roman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4" fontId="3" fillId="0" borderId="11" xfId="0" applyNumberFormat="1" applyFont="1" applyBorder="1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14" fontId="3" fillId="0" borderId="18" xfId="0" applyNumberFormat="1" applyFont="1" applyBorder="1" applyAlignment="1">
      <alignment horizontal="center" vertical="center"/>
    </xf>
    <xf numFmtId="20" fontId="3" fillId="0" borderId="4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/>
    </xf>
    <xf numFmtId="20" fontId="3" fillId="3" borderId="36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14" fontId="3" fillId="0" borderId="27" xfId="0" applyNumberFormat="1" applyFont="1" applyBorder="1" applyAlignment="1">
      <alignment horizontal="center" vertical="center"/>
    </xf>
    <xf numFmtId="20" fontId="3" fillId="0" borderId="3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1" xfId="0" quotePrefix="1" applyFont="1" applyBorder="1" applyAlignment="1">
      <alignment horizontal="center" vertical="center" shrinkToFit="1"/>
    </xf>
    <xf numFmtId="20" fontId="6" fillId="0" borderId="36" xfId="0" applyNumberFormat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19" xfId="1" applyBorder="1" applyAlignment="1">
      <alignment horizontal="center"/>
    </xf>
    <xf numFmtId="0" fontId="7" fillId="0" borderId="17" xfId="0" quotePrefix="1" applyFont="1" applyBorder="1" applyAlignment="1">
      <alignment horizontal="center"/>
    </xf>
    <xf numFmtId="0" fontId="7" fillId="0" borderId="18" xfId="0" quotePrefix="1" applyFont="1" applyBorder="1" applyAlignment="1">
      <alignment horizontal="center" shrinkToFit="1"/>
    </xf>
    <xf numFmtId="20" fontId="7" fillId="0" borderId="40" xfId="0" applyNumberFormat="1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shrinkToFit="1"/>
    </xf>
    <xf numFmtId="20" fontId="7" fillId="0" borderId="36" xfId="0" applyNumberFormat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7" fillId="0" borderId="10" xfId="0" quotePrefix="1" applyFont="1" applyBorder="1" applyAlignment="1">
      <alignment horizontal="center"/>
    </xf>
    <xf numFmtId="0" fontId="7" fillId="0" borderId="11" xfId="0" quotePrefix="1" applyFont="1" applyBorder="1" applyAlignment="1">
      <alignment horizontal="center" shrinkToFit="1"/>
    </xf>
    <xf numFmtId="20" fontId="7" fillId="0" borderId="37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36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28" xfId="1" applyFill="1" applyBorder="1" applyAlignment="1">
      <alignment horizontal="center"/>
    </xf>
    <xf numFmtId="20" fontId="7" fillId="0" borderId="3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1" fillId="0" borderId="51" xfId="1" applyBorder="1" applyAlignment="1">
      <alignment horizontal="center"/>
    </xf>
    <xf numFmtId="0" fontId="1" fillId="0" borderId="38" xfId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27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croplastic-2019\2019-07-23_Gipsvika%20(5).JPG" TargetMode="External"/><Relationship Id="rId7" Type="http://schemas.openxmlformats.org/officeDocument/2006/relationships/hyperlink" Target="Macroplastic-2019\2019-07-23_Gipsvika%20(8).JPG" TargetMode="External"/><Relationship Id="rId2" Type="http://schemas.openxmlformats.org/officeDocument/2006/relationships/hyperlink" Target="https://www.iopan.pl/projects/Adamant/Macroplastic-2019/2019-07-23_Gipsvika%20(10).JPG" TargetMode="External"/><Relationship Id="rId1" Type="http://schemas.openxmlformats.org/officeDocument/2006/relationships/hyperlink" Target="Macroplastic-2019\2019-07-23_Gipsvika%20(1).JPG" TargetMode="External"/><Relationship Id="rId6" Type="http://schemas.openxmlformats.org/officeDocument/2006/relationships/hyperlink" Target="Macroplastic-2019\2019-07-23_Gipsvika%20(7).JPG" TargetMode="External"/><Relationship Id="rId5" Type="http://schemas.openxmlformats.org/officeDocument/2006/relationships/hyperlink" Target="Macroplastic-2019\2019-07-23_Gipsvika%20(11).JPG" TargetMode="External"/><Relationship Id="rId4" Type="http://schemas.openxmlformats.org/officeDocument/2006/relationships/hyperlink" Target="https://www.iopan.pl/projects/Adamant/Macroplastic-2019/2019-07-23_Gipsvika%20(1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1"/>
  <sheetViews>
    <sheetView tabSelected="1" topLeftCell="I17" zoomScaleNormal="100" workbookViewId="0">
      <selection activeCell="R38" sqref="R38"/>
    </sheetView>
  </sheetViews>
  <sheetFormatPr defaultRowHeight="15" x14ac:dyDescent="0.25"/>
  <cols>
    <col min="1" max="1" width="14.5703125" style="22" customWidth="1"/>
    <col min="2" max="2" width="9.140625" style="22"/>
    <col min="3" max="3" width="12.5703125" style="22" bestFit="1" customWidth="1"/>
    <col min="4" max="4" width="14.5703125" style="22" customWidth="1"/>
    <col min="5" max="5" width="14.7109375" style="22" customWidth="1"/>
    <col min="6" max="6" width="16.28515625" style="22" customWidth="1"/>
    <col min="7" max="7" width="9.7109375" style="22" customWidth="1"/>
    <col min="8" max="8" width="6.42578125" style="22" bestFit="1" customWidth="1"/>
    <col min="9" max="9" width="9" style="22" bestFit="1" customWidth="1"/>
    <col min="10" max="11" width="9.140625" style="22"/>
    <col min="12" max="12" width="12.85546875" style="22" customWidth="1"/>
    <col min="13" max="13" width="17.42578125" style="22" customWidth="1"/>
    <col min="14" max="14" width="6.140625" style="22" bestFit="1" customWidth="1"/>
    <col min="15" max="15" width="25.85546875" style="22" bestFit="1" customWidth="1"/>
    <col min="16" max="16" width="8.28515625" style="116" customWidth="1"/>
    <col min="17" max="17" width="8.140625" style="116" customWidth="1"/>
    <col min="18" max="18" width="29.85546875" style="22" bestFit="1" customWidth="1"/>
    <col min="19" max="19" width="16.28515625" style="22" customWidth="1"/>
    <col min="20" max="20" width="40.85546875" style="96" bestFit="1" customWidth="1"/>
    <col min="21" max="21" width="16.5703125" style="22" bestFit="1" customWidth="1"/>
    <col min="22" max="22" width="16.140625" style="22" customWidth="1"/>
    <col min="23" max="23" width="13.28515625" style="22" customWidth="1"/>
    <col min="24" max="24" width="5.42578125" style="22" bestFit="1" customWidth="1"/>
  </cols>
  <sheetData>
    <row r="1" spans="1:24" s="117" customFormat="1" x14ac:dyDescent="0.25">
      <c r="A1" s="1" t="s">
        <v>0</v>
      </c>
      <c r="B1" s="2" t="s">
        <v>1</v>
      </c>
      <c r="C1" s="3" t="s">
        <v>2</v>
      </c>
      <c r="D1" s="4" t="s">
        <v>3</v>
      </c>
      <c r="E1" s="24" t="s">
        <v>4</v>
      </c>
      <c r="F1" s="25" t="s">
        <v>5</v>
      </c>
      <c r="G1" s="26" t="s">
        <v>6</v>
      </c>
      <c r="H1" s="27" t="s">
        <v>7</v>
      </c>
      <c r="I1" s="2" t="s">
        <v>8</v>
      </c>
      <c r="J1" s="2" t="s">
        <v>9</v>
      </c>
      <c r="K1" s="3" t="s">
        <v>10</v>
      </c>
      <c r="L1" s="1" t="s">
        <v>11</v>
      </c>
      <c r="M1" s="28" t="s">
        <v>12</v>
      </c>
      <c r="N1" s="27" t="s">
        <v>13</v>
      </c>
      <c r="O1" s="2" t="s">
        <v>14</v>
      </c>
      <c r="P1" s="29" t="s">
        <v>15</v>
      </c>
      <c r="Q1" s="29" t="s">
        <v>16</v>
      </c>
      <c r="R1" s="3" t="s">
        <v>17</v>
      </c>
      <c r="S1" s="1" t="s">
        <v>3</v>
      </c>
      <c r="T1" s="30" t="s">
        <v>18</v>
      </c>
      <c r="U1" s="28" t="s">
        <v>19</v>
      </c>
      <c r="V1" s="27" t="s">
        <v>20</v>
      </c>
      <c r="W1" s="2" t="s">
        <v>21</v>
      </c>
      <c r="X1" s="28" t="s">
        <v>22</v>
      </c>
    </row>
    <row r="2" spans="1:24" x14ac:dyDescent="0.25">
      <c r="A2" s="118" t="s">
        <v>23</v>
      </c>
      <c r="B2" s="120" t="s">
        <v>24</v>
      </c>
      <c r="C2" s="122">
        <v>100</v>
      </c>
      <c r="D2" s="118">
        <v>1</v>
      </c>
      <c r="E2" s="120">
        <v>1</v>
      </c>
      <c r="F2" s="139">
        <v>39</v>
      </c>
      <c r="G2" s="145">
        <v>94</v>
      </c>
      <c r="H2" s="132" t="s">
        <v>25</v>
      </c>
      <c r="I2" s="132">
        <v>51</v>
      </c>
      <c r="J2" s="132">
        <v>82</v>
      </c>
      <c r="K2" s="134">
        <v>31</v>
      </c>
      <c r="L2" s="118" t="s">
        <v>26</v>
      </c>
      <c r="M2" s="139" t="s">
        <v>27</v>
      </c>
      <c r="N2" s="31">
        <v>1</v>
      </c>
      <c r="O2" s="6" t="s">
        <v>28</v>
      </c>
      <c r="P2" s="105" t="s">
        <v>29</v>
      </c>
      <c r="Q2" s="105" t="s">
        <v>30</v>
      </c>
      <c r="R2" s="32" t="str">
        <f>HYPERLINK("https://old.iopan.pl/projects/Adamant/Macroplastic-2019/2019-07-23_Gipsvika (1).JPG","2019-07-23_Gipsvika (1)")</f>
        <v>2019-07-23_Gipsvika (1)</v>
      </c>
      <c r="S2" s="5">
        <v>0</v>
      </c>
      <c r="T2" s="33" t="s">
        <v>31</v>
      </c>
      <c r="U2" s="34" t="s">
        <v>31</v>
      </c>
      <c r="V2" s="31" t="s">
        <v>32</v>
      </c>
      <c r="W2" s="35">
        <v>43669</v>
      </c>
      <c r="X2" s="36">
        <v>0.56319444444444444</v>
      </c>
    </row>
    <row r="3" spans="1:24" x14ac:dyDescent="0.25">
      <c r="A3" s="119"/>
      <c r="B3" s="121"/>
      <c r="C3" s="123"/>
      <c r="D3" s="119"/>
      <c r="E3" s="121"/>
      <c r="F3" s="140"/>
      <c r="G3" s="144"/>
      <c r="H3" s="133"/>
      <c r="I3" s="133"/>
      <c r="J3" s="133"/>
      <c r="K3" s="135"/>
      <c r="L3" s="119"/>
      <c r="M3" s="140"/>
      <c r="N3" s="37">
        <v>2</v>
      </c>
      <c r="O3" s="12" t="s">
        <v>33</v>
      </c>
      <c r="P3" s="106" t="s">
        <v>34</v>
      </c>
      <c r="Q3" s="106" t="s">
        <v>35</v>
      </c>
      <c r="R3" s="32" t="str">
        <f>HYPERLINK("https://old.iopan.pl/projects/Adamant/Macroplastic-2019/2019-07-23_Gipsvika (5).JPG","2019-07-23_Gipsvika (5)")</f>
        <v>2019-07-23_Gipsvika (5)</v>
      </c>
      <c r="S3" s="11">
        <v>1</v>
      </c>
      <c r="T3" s="38">
        <v>39</v>
      </c>
      <c r="U3" s="39" t="s">
        <v>31</v>
      </c>
      <c r="V3" s="37" t="s">
        <v>36</v>
      </c>
      <c r="W3" s="40">
        <v>43669</v>
      </c>
      <c r="X3" s="41">
        <v>0.56666666666666665</v>
      </c>
    </row>
    <row r="4" spans="1:24" x14ac:dyDescent="0.25">
      <c r="A4" s="124" t="s">
        <v>23</v>
      </c>
      <c r="B4" s="125" t="s">
        <v>37</v>
      </c>
      <c r="C4" s="126">
        <v>100</v>
      </c>
      <c r="D4" s="124">
        <v>2</v>
      </c>
      <c r="E4" s="125">
        <v>2</v>
      </c>
      <c r="F4" s="141" t="s">
        <v>38</v>
      </c>
      <c r="G4" s="144">
        <v>94</v>
      </c>
      <c r="H4" s="133" t="s">
        <v>25</v>
      </c>
      <c r="I4" s="133">
        <v>51</v>
      </c>
      <c r="J4" s="133">
        <v>82</v>
      </c>
      <c r="K4" s="135">
        <v>31</v>
      </c>
      <c r="L4" s="124" t="s">
        <v>26</v>
      </c>
      <c r="M4" s="141" t="s">
        <v>27</v>
      </c>
      <c r="N4" s="37">
        <v>3</v>
      </c>
      <c r="O4" s="12" t="s">
        <v>39</v>
      </c>
      <c r="P4" s="107" t="s">
        <v>40</v>
      </c>
      <c r="Q4" s="107" t="s">
        <v>41</v>
      </c>
      <c r="R4" s="32" t="str">
        <f>HYPERLINK("https://old.iopan.pl/projects/Adamant/Macroplastic-2019/2019-07-23_Gipsvika (7).JPG","2019-07-23_Gipsvika (7)")</f>
        <v>2019-07-23_Gipsvika (7)</v>
      </c>
      <c r="S4" s="11">
        <v>1</v>
      </c>
      <c r="T4" s="38">
        <v>46</v>
      </c>
      <c r="U4" s="39" t="s">
        <v>31</v>
      </c>
      <c r="V4" s="37" t="s">
        <v>36</v>
      </c>
      <c r="W4" s="40">
        <v>43669</v>
      </c>
      <c r="X4" s="41">
        <v>0.56874999999999998</v>
      </c>
    </row>
    <row r="5" spans="1:24" x14ac:dyDescent="0.25">
      <c r="A5" s="119"/>
      <c r="B5" s="121"/>
      <c r="C5" s="123"/>
      <c r="D5" s="119"/>
      <c r="E5" s="121"/>
      <c r="F5" s="140"/>
      <c r="G5" s="144"/>
      <c r="H5" s="133"/>
      <c r="I5" s="133"/>
      <c r="J5" s="133"/>
      <c r="K5" s="135"/>
      <c r="L5" s="119"/>
      <c r="M5" s="140"/>
      <c r="N5" s="37">
        <v>4</v>
      </c>
      <c r="O5" s="12" t="s">
        <v>42</v>
      </c>
      <c r="P5" s="107" t="s">
        <v>40</v>
      </c>
      <c r="Q5" s="107" t="s">
        <v>43</v>
      </c>
      <c r="R5" s="32" t="str">
        <f>HYPERLINK("https://old.iopan.pl/projects/Adamant/Macroplastic-2019/2019-07-23_Gipsvika (8).JPG","2019-07-23_Gipsvika (8)")</f>
        <v>2019-07-23_Gipsvika (8)</v>
      </c>
      <c r="S5" s="11">
        <v>1</v>
      </c>
      <c r="T5" s="38">
        <v>48</v>
      </c>
      <c r="U5" s="39" t="s">
        <v>31</v>
      </c>
      <c r="V5" s="37" t="s">
        <v>36</v>
      </c>
      <c r="W5" s="40">
        <v>43669</v>
      </c>
      <c r="X5" s="41">
        <v>0.56944444444444442</v>
      </c>
    </row>
    <row r="6" spans="1:24" x14ac:dyDescent="0.25">
      <c r="A6" s="11" t="s">
        <v>23</v>
      </c>
      <c r="B6" s="12" t="s">
        <v>44</v>
      </c>
      <c r="C6" s="13">
        <v>100</v>
      </c>
      <c r="D6" s="11">
        <v>0</v>
      </c>
      <c r="E6" s="12">
        <v>0</v>
      </c>
      <c r="F6" s="39" t="s">
        <v>31</v>
      </c>
      <c r="G6" s="37">
        <v>94</v>
      </c>
      <c r="H6" s="12" t="s">
        <v>25</v>
      </c>
      <c r="I6" s="12">
        <v>51</v>
      </c>
      <c r="J6" s="12">
        <v>82</v>
      </c>
      <c r="K6" s="13">
        <v>31</v>
      </c>
      <c r="L6" s="11" t="s">
        <v>26</v>
      </c>
      <c r="M6" s="39" t="s">
        <v>27</v>
      </c>
      <c r="N6" s="37" t="s">
        <v>31</v>
      </c>
      <c r="O6" s="12" t="s">
        <v>31</v>
      </c>
      <c r="P6" s="107" t="s">
        <v>31</v>
      </c>
      <c r="Q6" s="107" t="s">
        <v>31</v>
      </c>
      <c r="R6" s="13" t="s">
        <v>31</v>
      </c>
      <c r="S6" s="11" t="s">
        <v>31</v>
      </c>
      <c r="T6" s="38" t="s">
        <v>31</v>
      </c>
      <c r="U6" s="39" t="s">
        <v>31</v>
      </c>
      <c r="V6" s="37" t="s">
        <v>45</v>
      </c>
      <c r="W6" s="40">
        <v>43669</v>
      </c>
      <c r="X6" s="39" t="s">
        <v>31</v>
      </c>
    </row>
    <row r="7" spans="1:24" x14ac:dyDescent="0.25">
      <c r="A7" s="124" t="s">
        <v>23</v>
      </c>
      <c r="B7" s="125" t="s">
        <v>46</v>
      </c>
      <c r="C7" s="126">
        <v>100</v>
      </c>
      <c r="D7" s="124">
        <v>2</v>
      </c>
      <c r="E7" s="125">
        <v>2</v>
      </c>
      <c r="F7" s="141" t="s">
        <v>47</v>
      </c>
      <c r="G7" s="144">
        <v>94</v>
      </c>
      <c r="H7" s="133" t="s">
        <v>25</v>
      </c>
      <c r="I7" s="133">
        <v>51</v>
      </c>
      <c r="J7" s="133">
        <v>82</v>
      </c>
      <c r="K7" s="135">
        <v>31</v>
      </c>
      <c r="L7" s="124" t="s">
        <v>26</v>
      </c>
      <c r="M7" s="141" t="s">
        <v>27</v>
      </c>
      <c r="N7" s="37">
        <v>5</v>
      </c>
      <c r="O7" s="12" t="s">
        <v>48</v>
      </c>
      <c r="P7" s="106" t="s">
        <v>49</v>
      </c>
      <c r="Q7" s="106" t="s">
        <v>50</v>
      </c>
      <c r="R7" s="43" t="str">
        <f>HYPERLINK("https://old.iopan.pl/projects/Adamant/Macroplastic-2019/2019-07-23_Gipsvika (9).JPG","2019-07-23_Gipsvika (9)")</f>
        <v>2019-07-23_Gipsvika (9)</v>
      </c>
      <c r="S7" s="11">
        <v>1</v>
      </c>
      <c r="T7" s="38">
        <v>46</v>
      </c>
      <c r="U7" s="39" t="s">
        <v>31</v>
      </c>
      <c r="V7" s="37" t="s">
        <v>36</v>
      </c>
      <c r="W7" s="40">
        <v>43669</v>
      </c>
      <c r="X7" s="41">
        <v>0.57222222222222219</v>
      </c>
    </row>
    <row r="8" spans="1:24" x14ac:dyDescent="0.25">
      <c r="A8" s="119"/>
      <c r="B8" s="121"/>
      <c r="C8" s="123"/>
      <c r="D8" s="119"/>
      <c r="E8" s="121"/>
      <c r="F8" s="140"/>
      <c r="G8" s="144"/>
      <c r="H8" s="133"/>
      <c r="I8" s="133"/>
      <c r="J8" s="133"/>
      <c r="K8" s="135"/>
      <c r="L8" s="119"/>
      <c r="M8" s="140"/>
      <c r="N8" s="37">
        <v>6</v>
      </c>
      <c r="O8" s="12" t="s">
        <v>51</v>
      </c>
      <c r="P8" s="106" t="s">
        <v>52</v>
      </c>
      <c r="Q8" s="106" t="s">
        <v>53</v>
      </c>
      <c r="R8" s="43" t="str">
        <f>HYPERLINK("https://old.iopan.pl/projects/Adamant/Macroplastic-2019/2019-07-23_Gipsvika (10).JPG","2019-07-23_Gipsvika (10)")</f>
        <v>2019-07-23_Gipsvika (10)</v>
      </c>
      <c r="S8" s="11">
        <v>1</v>
      </c>
      <c r="T8" s="38">
        <v>21</v>
      </c>
      <c r="U8" s="39" t="s">
        <v>31</v>
      </c>
      <c r="V8" s="37" t="s">
        <v>36</v>
      </c>
      <c r="W8" s="40">
        <v>43669</v>
      </c>
      <c r="X8" s="41">
        <v>0.57500000000000007</v>
      </c>
    </row>
    <row r="9" spans="1:24" x14ac:dyDescent="0.25">
      <c r="A9" s="8" t="s">
        <v>23</v>
      </c>
      <c r="B9" s="9" t="s">
        <v>31</v>
      </c>
      <c r="C9" s="10">
        <v>40</v>
      </c>
      <c r="D9" s="14" t="s">
        <v>31</v>
      </c>
      <c r="E9" s="44" t="s">
        <v>31</v>
      </c>
      <c r="F9" s="45" t="s">
        <v>31</v>
      </c>
      <c r="G9" s="46">
        <v>94</v>
      </c>
      <c r="H9" s="9" t="s">
        <v>25</v>
      </c>
      <c r="I9" s="9">
        <v>51</v>
      </c>
      <c r="J9" s="9">
        <v>82</v>
      </c>
      <c r="K9" s="10">
        <v>31</v>
      </c>
      <c r="L9" s="8" t="s">
        <v>26</v>
      </c>
      <c r="M9" s="42" t="s">
        <v>27</v>
      </c>
      <c r="N9" s="46">
        <v>7</v>
      </c>
      <c r="O9" s="9" t="s">
        <v>54</v>
      </c>
      <c r="P9" s="108" t="s">
        <v>55</v>
      </c>
      <c r="Q9" s="108" t="s">
        <v>53</v>
      </c>
      <c r="R9" s="47" t="str">
        <f>HYPERLINK("https://old.iopan.pl/projects/Adamant/Macroplastic-2019/2019-07-23_Gipsvika (11).JPG","2019-07-23_Gipsvika (11)")</f>
        <v>2019-07-23_Gipsvika (11)</v>
      </c>
      <c r="S9" s="8" t="s">
        <v>31</v>
      </c>
      <c r="T9" s="48" t="s">
        <v>31</v>
      </c>
      <c r="U9" s="42" t="s">
        <v>31</v>
      </c>
      <c r="V9" s="46" t="s">
        <v>56</v>
      </c>
      <c r="W9" s="49">
        <v>43669</v>
      </c>
      <c r="X9" s="50">
        <v>0.57638888888888895</v>
      </c>
    </row>
    <row r="10" spans="1:24" x14ac:dyDescent="0.25">
      <c r="A10" s="130" t="s">
        <v>57</v>
      </c>
      <c r="B10" s="132" t="s">
        <v>31</v>
      </c>
      <c r="C10" s="134">
        <v>160</v>
      </c>
      <c r="D10" s="119">
        <v>16</v>
      </c>
      <c r="E10" s="121">
        <v>9</v>
      </c>
      <c r="F10" s="146" t="s">
        <v>58</v>
      </c>
      <c r="G10" s="130">
        <v>90</v>
      </c>
      <c r="H10" s="132" t="s">
        <v>31</v>
      </c>
      <c r="I10" s="132">
        <v>47</v>
      </c>
      <c r="J10" s="132">
        <v>78</v>
      </c>
      <c r="K10" s="148">
        <v>27</v>
      </c>
      <c r="L10" s="150" t="s">
        <v>26</v>
      </c>
      <c r="M10" s="134" t="s">
        <v>59</v>
      </c>
      <c r="N10" s="15">
        <v>8</v>
      </c>
      <c r="O10" s="16" t="s">
        <v>60</v>
      </c>
      <c r="P10" s="109" t="s">
        <v>61</v>
      </c>
      <c r="Q10" s="109" t="s">
        <v>62</v>
      </c>
      <c r="R10" s="97" t="str">
        <f>HYPERLINK("https://old.iopan.pl/projects/Adamant/Macroplastic-2019/2019-07-24_Gipshukodden (1).JPG","2019-07-24_Gipshukodden (1)")</f>
        <v>2019-07-24_Gipshukodden (1)</v>
      </c>
      <c r="S10" s="52">
        <v>0</v>
      </c>
      <c r="T10" s="53" t="s">
        <v>31</v>
      </c>
      <c r="U10" s="51" t="s">
        <v>31</v>
      </c>
      <c r="V10" s="52" t="s">
        <v>32</v>
      </c>
      <c r="W10" s="54">
        <v>43670</v>
      </c>
      <c r="X10" s="55">
        <v>1.3194444444444444E-2</v>
      </c>
    </row>
    <row r="11" spans="1:24" x14ac:dyDescent="0.25">
      <c r="A11" s="131"/>
      <c r="B11" s="133"/>
      <c r="C11" s="135"/>
      <c r="D11" s="131"/>
      <c r="E11" s="133"/>
      <c r="F11" s="147"/>
      <c r="G11" s="131"/>
      <c r="H11" s="133"/>
      <c r="I11" s="133"/>
      <c r="J11" s="133"/>
      <c r="K11" s="149"/>
      <c r="L11" s="144"/>
      <c r="M11" s="135"/>
      <c r="N11" s="131">
        <v>9</v>
      </c>
      <c r="O11" s="133" t="s">
        <v>63</v>
      </c>
      <c r="P11" s="152" t="s">
        <v>64</v>
      </c>
      <c r="Q11" s="152" t="s">
        <v>65</v>
      </c>
      <c r="R11" s="71" t="str">
        <f>HYPERLINK("https://old.iopan.pl/projects/Adamant/Macroplastic-2019/2019-07-24_Gipshukodden (3).JPG","2019-07-24_Gipshukodden (3)")</f>
        <v>2019-07-24_Gipshukodden (3)</v>
      </c>
      <c r="S11" s="37">
        <v>16</v>
      </c>
      <c r="T11" s="56" t="s">
        <v>58</v>
      </c>
      <c r="U11" s="39">
        <v>118</v>
      </c>
      <c r="V11" s="37" t="s">
        <v>36</v>
      </c>
      <c r="W11" s="40">
        <v>43670</v>
      </c>
      <c r="X11" s="41">
        <v>2.6388888888888889E-2</v>
      </c>
    </row>
    <row r="12" spans="1:24" x14ac:dyDescent="0.25">
      <c r="A12" s="131"/>
      <c r="B12" s="133"/>
      <c r="C12" s="135"/>
      <c r="D12" s="131"/>
      <c r="E12" s="133"/>
      <c r="F12" s="147"/>
      <c r="G12" s="131"/>
      <c r="H12" s="133"/>
      <c r="I12" s="133"/>
      <c r="J12" s="133"/>
      <c r="K12" s="149"/>
      <c r="L12" s="144"/>
      <c r="M12" s="135"/>
      <c r="N12" s="131"/>
      <c r="O12" s="133"/>
      <c r="P12" s="152"/>
      <c r="Q12" s="152"/>
      <c r="R12" s="71" t="str">
        <f>HYPERLINK("https://old.iopan.pl/projects/Adamant/Macroplastic-2019/2019-07-24_Gipshukodden (4).JPG","2019-07-24_Gipshukodden (4)")</f>
        <v>2019-07-24_Gipshukodden (4)</v>
      </c>
      <c r="S12" s="37">
        <v>0</v>
      </c>
      <c r="T12" s="56" t="s">
        <v>31</v>
      </c>
      <c r="U12" s="39" t="s">
        <v>66</v>
      </c>
      <c r="V12" s="37" t="s">
        <v>67</v>
      </c>
      <c r="W12" s="40">
        <v>43670</v>
      </c>
      <c r="X12" s="41">
        <v>2.6388888888888889E-2</v>
      </c>
    </row>
    <row r="13" spans="1:24" x14ac:dyDescent="0.25">
      <c r="A13" s="124"/>
      <c r="B13" s="125"/>
      <c r="C13" s="126"/>
      <c r="D13" s="124"/>
      <c r="E13" s="125"/>
      <c r="F13" s="142"/>
      <c r="G13" s="124"/>
      <c r="H13" s="125"/>
      <c r="I13" s="125"/>
      <c r="J13" s="125"/>
      <c r="K13" s="141"/>
      <c r="L13" s="151"/>
      <c r="M13" s="126"/>
      <c r="N13" s="21">
        <v>10</v>
      </c>
      <c r="O13" s="62" t="s">
        <v>68</v>
      </c>
      <c r="P13" s="110" t="s">
        <v>69</v>
      </c>
      <c r="Q13" s="110" t="s">
        <v>70</v>
      </c>
      <c r="R13" s="98" t="str">
        <f>HYPERLINK("https://old.iopan.pl/projects/Adamant/Macroplastic-2019/2019-07-24_Gipshukodden (5).JPG","2019-07-24_Gipshukodden (5)")</f>
        <v>2019-07-24_Gipshukodden (5)</v>
      </c>
      <c r="S13" s="46">
        <v>0</v>
      </c>
      <c r="T13" s="58" t="s">
        <v>31</v>
      </c>
      <c r="U13" s="42">
        <v>84</v>
      </c>
      <c r="V13" s="46" t="s">
        <v>71</v>
      </c>
      <c r="W13" s="49">
        <v>43670</v>
      </c>
      <c r="X13" s="50">
        <v>3.7499999999999999E-2</v>
      </c>
    </row>
    <row r="14" spans="1:24" x14ac:dyDescent="0.25">
      <c r="A14" s="118" t="s">
        <v>72</v>
      </c>
      <c r="B14" s="120" t="s">
        <v>73</v>
      </c>
      <c r="C14" s="122">
        <v>100</v>
      </c>
      <c r="D14" s="118">
        <v>2</v>
      </c>
      <c r="E14" s="120">
        <v>2</v>
      </c>
      <c r="F14" s="122" t="s">
        <v>74</v>
      </c>
      <c r="G14" s="118">
        <v>87</v>
      </c>
      <c r="H14" s="120" t="s">
        <v>75</v>
      </c>
      <c r="I14" s="120">
        <v>44</v>
      </c>
      <c r="J14" s="120">
        <v>76</v>
      </c>
      <c r="K14" s="139">
        <v>63</v>
      </c>
      <c r="L14" s="156" t="s">
        <v>26</v>
      </c>
      <c r="M14" s="139" t="s">
        <v>27</v>
      </c>
      <c r="N14" s="157">
        <v>11</v>
      </c>
      <c r="O14" s="128" t="s">
        <v>76</v>
      </c>
      <c r="P14" s="153" t="s">
        <v>77</v>
      </c>
      <c r="Q14" s="153" t="s">
        <v>78</v>
      </c>
      <c r="R14" s="32" t="str">
        <f>HYPERLINK("https://old.iopan.pl/projects/Adamant/Macroplastic-2019/2019-07-24_Yoldiabukta_N (1).JPG","2019-07-24_Yoldiabukta_N (1)")</f>
        <v>2019-07-24_Yoldiabukta_N (1)</v>
      </c>
      <c r="S14" s="15">
        <v>0</v>
      </c>
      <c r="T14" s="53" t="s">
        <v>31</v>
      </c>
      <c r="U14" s="51" t="s">
        <v>31</v>
      </c>
      <c r="V14" s="52" t="s">
        <v>79</v>
      </c>
      <c r="W14" s="54">
        <v>43670</v>
      </c>
      <c r="X14" s="55">
        <v>0.88541666666666663</v>
      </c>
    </row>
    <row r="15" spans="1:24" x14ac:dyDescent="0.25">
      <c r="A15" s="127"/>
      <c r="B15" s="128"/>
      <c r="C15" s="129"/>
      <c r="D15" s="127"/>
      <c r="E15" s="128"/>
      <c r="F15" s="129"/>
      <c r="G15" s="127"/>
      <c r="H15" s="128"/>
      <c r="I15" s="128"/>
      <c r="J15" s="128"/>
      <c r="K15" s="155"/>
      <c r="L15" s="157"/>
      <c r="M15" s="155"/>
      <c r="N15" s="145"/>
      <c r="O15" s="121"/>
      <c r="P15" s="154"/>
      <c r="Q15" s="154"/>
      <c r="R15" s="43" t="str">
        <f>HYPERLINK("https://old.iopan.pl/projects/Adamant/Macroplastic-2019/2019-07-24_Yoldiabukta_N (2).JPG","2019-07-24_Yoldiabukta_N (2)")</f>
        <v>2019-07-24_Yoldiabukta_N (2)</v>
      </c>
      <c r="S15" s="11">
        <v>1</v>
      </c>
      <c r="T15" s="56">
        <v>117</v>
      </c>
      <c r="U15" s="39" t="s">
        <v>31</v>
      </c>
      <c r="V15" s="37" t="s">
        <v>36</v>
      </c>
      <c r="W15" s="40">
        <v>43670</v>
      </c>
      <c r="X15" s="60">
        <v>0.88611111111111107</v>
      </c>
    </row>
    <row r="16" spans="1:24" x14ac:dyDescent="0.25">
      <c r="A16" s="119"/>
      <c r="B16" s="121"/>
      <c r="C16" s="123"/>
      <c r="D16" s="119"/>
      <c r="E16" s="121"/>
      <c r="F16" s="123"/>
      <c r="G16" s="119"/>
      <c r="H16" s="121"/>
      <c r="I16" s="121"/>
      <c r="J16" s="121"/>
      <c r="K16" s="140"/>
      <c r="L16" s="145"/>
      <c r="M16" s="140"/>
      <c r="N16" s="37">
        <v>12</v>
      </c>
      <c r="O16" s="12" t="s">
        <v>80</v>
      </c>
      <c r="P16" s="111" t="s">
        <v>81</v>
      </c>
      <c r="Q16" s="111" t="s">
        <v>82</v>
      </c>
      <c r="R16" s="43" t="str">
        <f>HYPERLINK("https://old.iopan.pl/projects/Adamant/Macroplastic-2019/2019-07-24_Yoldiabukta_N (3).JPG","2019-07-24_Yoldiabukta_N (3)")</f>
        <v>2019-07-24_Yoldiabukta_N (3)</v>
      </c>
      <c r="S16" s="11">
        <v>1</v>
      </c>
      <c r="T16" s="56">
        <v>48</v>
      </c>
      <c r="U16" s="39" t="s">
        <v>31</v>
      </c>
      <c r="V16" s="37" t="s">
        <v>36</v>
      </c>
      <c r="W16" s="40">
        <v>43670</v>
      </c>
      <c r="X16" s="60">
        <v>0.91875000000000007</v>
      </c>
    </row>
    <row r="17" spans="1:24" x14ac:dyDescent="0.25">
      <c r="A17" s="11" t="s">
        <v>72</v>
      </c>
      <c r="B17" s="12" t="s">
        <v>83</v>
      </c>
      <c r="C17" s="13">
        <v>100</v>
      </c>
      <c r="D17" s="11">
        <v>0</v>
      </c>
      <c r="E17" s="12">
        <v>0</v>
      </c>
      <c r="F17" s="13" t="s">
        <v>31</v>
      </c>
      <c r="G17" s="11">
        <v>87</v>
      </c>
      <c r="H17" s="12" t="s">
        <v>75</v>
      </c>
      <c r="I17" s="12">
        <v>44</v>
      </c>
      <c r="J17" s="12">
        <v>76</v>
      </c>
      <c r="K17" s="39">
        <v>63</v>
      </c>
      <c r="L17" s="37" t="s">
        <v>26</v>
      </c>
      <c r="M17" s="39" t="s">
        <v>27</v>
      </c>
      <c r="N17" s="37" t="s">
        <v>31</v>
      </c>
      <c r="O17" s="12" t="s">
        <v>31</v>
      </c>
      <c r="P17" s="107" t="s">
        <v>31</v>
      </c>
      <c r="Q17" s="107" t="s">
        <v>31</v>
      </c>
      <c r="R17" s="13" t="s">
        <v>31</v>
      </c>
      <c r="S17" s="11" t="s">
        <v>31</v>
      </c>
      <c r="T17" s="56" t="s">
        <v>31</v>
      </c>
      <c r="U17" s="39" t="s">
        <v>31</v>
      </c>
      <c r="V17" s="37" t="s">
        <v>45</v>
      </c>
      <c r="W17" s="40">
        <v>43670</v>
      </c>
      <c r="X17" s="39" t="s">
        <v>31</v>
      </c>
    </row>
    <row r="18" spans="1:24" x14ac:dyDescent="0.25">
      <c r="A18" s="11" t="s">
        <v>72</v>
      </c>
      <c r="B18" s="12" t="s">
        <v>84</v>
      </c>
      <c r="C18" s="13">
        <v>100</v>
      </c>
      <c r="D18" s="11">
        <v>0</v>
      </c>
      <c r="E18" s="12">
        <v>0</v>
      </c>
      <c r="F18" s="13" t="s">
        <v>31</v>
      </c>
      <c r="G18" s="11">
        <v>87</v>
      </c>
      <c r="H18" s="12" t="s">
        <v>75</v>
      </c>
      <c r="I18" s="12">
        <v>44</v>
      </c>
      <c r="J18" s="12">
        <v>76</v>
      </c>
      <c r="K18" s="39">
        <v>63</v>
      </c>
      <c r="L18" s="37" t="s">
        <v>26</v>
      </c>
      <c r="M18" s="39" t="s">
        <v>27</v>
      </c>
      <c r="N18" s="37" t="s">
        <v>31</v>
      </c>
      <c r="O18" s="12" t="s">
        <v>31</v>
      </c>
      <c r="P18" s="107" t="s">
        <v>31</v>
      </c>
      <c r="Q18" s="107" t="s">
        <v>31</v>
      </c>
      <c r="R18" s="13" t="s">
        <v>31</v>
      </c>
      <c r="S18" s="11" t="s">
        <v>31</v>
      </c>
      <c r="T18" s="56" t="s">
        <v>31</v>
      </c>
      <c r="U18" s="39" t="s">
        <v>31</v>
      </c>
      <c r="V18" s="37" t="s">
        <v>45</v>
      </c>
      <c r="W18" s="40">
        <v>43670</v>
      </c>
      <c r="X18" s="39" t="s">
        <v>31</v>
      </c>
    </row>
    <row r="19" spans="1:24" x14ac:dyDescent="0.25">
      <c r="A19" s="11" t="s">
        <v>72</v>
      </c>
      <c r="B19" s="12" t="s">
        <v>85</v>
      </c>
      <c r="C19" s="13">
        <v>100</v>
      </c>
      <c r="D19" s="11">
        <v>0</v>
      </c>
      <c r="E19" s="12">
        <v>0</v>
      </c>
      <c r="F19" s="13" t="s">
        <v>31</v>
      </c>
      <c r="G19" s="11">
        <v>87</v>
      </c>
      <c r="H19" s="12" t="s">
        <v>75</v>
      </c>
      <c r="I19" s="12">
        <v>44</v>
      </c>
      <c r="J19" s="12">
        <v>76</v>
      </c>
      <c r="K19" s="39">
        <v>63</v>
      </c>
      <c r="L19" s="37" t="s">
        <v>26</v>
      </c>
      <c r="M19" s="39" t="s">
        <v>27</v>
      </c>
      <c r="N19" s="37" t="s">
        <v>31</v>
      </c>
      <c r="O19" s="12" t="s">
        <v>31</v>
      </c>
      <c r="P19" s="107" t="s">
        <v>31</v>
      </c>
      <c r="Q19" s="107" t="s">
        <v>31</v>
      </c>
      <c r="R19" s="13" t="s">
        <v>31</v>
      </c>
      <c r="S19" s="11" t="s">
        <v>31</v>
      </c>
      <c r="T19" s="56" t="s">
        <v>31</v>
      </c>
      <c r="U19" s="39" t="s">
        <v>31</v>
      </c>
      <c r="V19" s="37" t="s">
        <v>45</v>
      </c>
      <c r="W19" s="40">
        <v>43670</v>
      </c>
      <c r="X19" s="39" t="s">
        <v>31</v>
      </c>
    </row>
    <row r="20" spans="1:24" x14ac:dyDescent="0.25">
      <c r="A20" s="11" t="s">
        <v>72</v>
      </c>
      <c r="B20" s="12" t="s">
        <v>86</v>
      </c>
      <c r="C20" s="13">
        <v>100</v>
      </c>
      <c r="D20" s="11">
        <v>0</v>
      </c>
      <c r="E20" s="12">
        <v>0</v>
      </c>
      <c r="F20" s="13" t="s">
        <v>31</v>
      </c>
      <c r="G20" s="11">
        <v>87</v>
      </c>
      <c r="H20" s="12" t="s">
        <v>75</v>
      </c>
      <c r="I20" s="12">
        <v>44</v>
      </c>
      <c r="J20" s="12">
        <v>76</v>
      </c>
      <c r="K20" s="39">
        <v>63</v>
      </c>
      <c r="L20" s="37" t="s">
        <v>26</v>
      </c>
      <c r="M20" s="39" t="s">
        <v>87</v>
      </c>
      <c r="N20" s="37" t="s">
        <v>31</v>
      </c>
      <c r="O20" s="12" t="s">
        <v>31</v>
      </c>
      <c r="P20" s="107" t="s">
        <v>31</v>
      </c>
      <c r="Q20" s="107" t="s">
        <v>31</v>
      </c>
      <c r="R20" s="13" t="s">
        <v>31</v>
      </c>
      <c r="S20" s="11" t="s">
        <v>31</v>
      </c>
      <c r="T20" s="56" t="s">
        <v>31</v>
      </c>
      <c r="U20" s="39" t="s">
        <v>31</v>
      </c>
      <c r="V20" s="37" t="s">
        <v>45</v>
      </c>
      <c r="W20" s="40">
        <v>43670</v>
      </c>
      <c r="X20" s="39" t="s">
        <v>31</v>
      </c>
    </row>
    <row r="21" spans="1:24" x14ac:dyDescent="0.25">
      <c r="A21" s="11" t="s">
        <v>72</v>
      </c>
      <c r="B21" s="12" t="s">
        <v>88</v>
      </c>
      <c r="C21" s="13">
        <v>100</v>
      </c>
      <c r="D21" s="11">
        <v>0</v>
      </c>
      <c r="E21" s="12">
        <v>0</v>
      </c>
      <c r="F21" s="13" t="s">
        <v>31</v>
      </c>
      <c r="G21" s="11">
        <v>87</v>
      </c>
      <c r="H21" s="12" t="s">
        <v>75</v>
      </c>
      <c r="I21" s="12">
        <v>44</v>
      </c>
      <c r="J21" s="12">
        <v>76</v>
      </c>
      <c r="K21" s="39">
        <v>63</v>
      </c>
      <c r="L21" s="37" t="s">
        <v>26</v>
      </c>
      <c r="M21" s="39" t="s">
        <v>27</v>
      </c>
      <c r="N21" s="37" t="s">
        <v>31</v>
      </c>
      <c r="O21" s="12" t="s">
        <v>31</v>
      </c>
      <c r="P21" s="107" t="s">
        <v>31</v>
      </c>
      <c r="Q21" s="107" t="s">
        <v>31</v>
      </c>
      <c r="R21" s="13" t="s">
        <v>31</v>
      </c>
      <c r="S21" s="11" t="s">
        <v>31</v>
      </c>
      <c r="T21" s="56" t="s">
        <v>31</v>
      </c>
      <c r="U21" s="39" t="s">
        <v>31</v>
      </c>
      <c r="V21" s="37" t="s">
        <v>45</v>
      </c>
      <c r="W21" s="40">
        <v>43670</v>
      </c>
      <c r="X21" s="39" t="s">
        <v>31</v>
      </c>
    </row>
    <row r="22" spans="1:24" x14ac:dyDescent="0.25">
      <c r="A22" s="11" t="s">
        <v>72</v>
      </c>
      <c r="B22" s="12" t="s">
        <v>89</v>
      </c>
      <c r="C22" s="13">
        <v>100</v>
      </c>
      <c r="D22" s="11">
        <v>0</v>
      </c>
      <c r="E22" s="12">
        <v>0</v>
      </c>
      <c r="F22" s="13" t="s">
        <v>31</v>
      </c>
      <c r="G22" s="11">
        <v>87</v>
      </c>
      <c r="H22" s="12" t="s">
        <v>75</v>
      </c>
      <c r="I22" s="12">
        <v>44</v>
      </c>
      <c r="J22" s="12">
        <v>76</v>
      </c>
      <c r="K22" s="39">
        <v>63</v>
      </c>
      <c r="L22" s="37" t="s">
        <v>90</v>
      </c>
      <c r="M22" s="39" t="s">
        <v>27</v>
      </c>
      <c r="N22" s="37" t="s">
        <v>31</v>
      </c>
      <c r="O22" s="12" t="s">
        <v>31</v>
      </c>
      <c r="P22" s="107" t="s">
        <v>31</v>
      </c>
      <c r="Q22" s="107" t="s">
        <v>31</v>
      </c>
      <c r="R22" s="13" t="s">
        <v>31</v>
      </c>
      <c r="S22" s="11" t="s">
        <v>31</v>
      </c>
      <c r="T22" s="56" t="s">
        <v>31</v>
      </c>
      <c r="U22" s="39" t="s">
        <v>31</v>
      </c>
      <c r="V22" s="37" t="s">
        <v>45</v>
      </c>
      <c r="W22" s="40">
        <v>43670</v>
      </c>
      <c r="X22" s="39" t="s">
        <v>31</v>
      </c>
    </row>
    <row r="23" spans="1:24" x14ac:dyDescent="0.25">
      <c r="A23" s="11" t="s">
        <v>72</v>
      </c>
      <c r="B23" s="12" t="s">
        <v>91</v>
      </c>
      <c r="C23" s="13">
        <v>100</v>
      </c>
      <c r="D23" s="11">
        <v>0</v>
      </c>
      <c r="E23" s="12">
        <v>0</v>
      </c>
      <c r="F23" s="13" t="s">
        <v>31</v>
      </c>
      <c r="G23" s="11">
        <v>87</v>
      </c>
      <c r="H23" s="12" t="s">
        <v>75</v>
      </c>
      <c r="I23" s="12">
        <v>44</v>
      </c>
      <c r="J23" s="12">
        <v>76</v>
      </c>
      <c r="K23" s="39">
        <v>63</v>
      </c>
      <c r="L23" s="37" t="s">
        <v>90</v>
      </c>
      <c r="M23" s="39" t="s">
        <v>27</v>
      </c>
      <c r="N23" s="37" t="s">
        <v>31</v>
      </c>
      <c r="O23" s="12" t="s">
        <v>31</v>
      </c>
      <c r="P23" s="107" t="s">
        <v>31</v>
      </c>
      <c r="Q23" s="107" t="s">
        <v>31</v>
      </c>
      <c r="R23" s="13" t="s">
        <v>31</v>
      </c>
      <c r="S23" s="11" t="s">
        <v>31</v>
      </c>
      <c r="T23" s="56" t="s">
        <v>31</v>
      </c>
      <c r="U23" s="39" t="s">
        <v>31</v>
      </c>
      <c r="V23" s="37" t="s">
        <v>45</v>
      </c>
      <c r="W23" s="40">
        <v>43670</v>
      </c>
      <c r="X23" s="39" t="s">
        <v>31</v>
      </c>
    </row>
    <row r="24" spans="1:24" x14ac:dyDescent="0.25">
      <c r="A24" s="11" t="s">
        <v>72</v>
      </c>
      <c r="B24" s="12" t="s">
        <v>92</v>
      </c>
      <c r="C24" s="13">
        <v>100</v>
      </c>
      <c r="D24" s="11">
        <v>0</v>
      </c>
      <c r="E24" s="12">
        <v>0</v>
      </c>
      <c r="F24" s="13" t="s">
        <v>31</v>
      </c>
      <c r="G24" s="11">
        <v>87</v>
      </c>
      <c r="H24" s="12" t="s">
        <v>75</v>
      </c>
      <c r="I24" s="12">
        <v>44</v>
      </c>
      <c r="J24" s="12">
        <v>76</v>
      </c>
      <c r="K24" s="39">
        <v>63</v>
      </c>
      <c r="L24" s="37" t="s">
        <v>90</v>
      </c>
      <c r="M24" s="39" t="s">
        <v>59</v>
      </c>
      <c r="N24" s="37" t="s">
        <v>31</v>
      </c>
      <c r="O24" s="12" t="s">
        <v>31</v>
      </c>
      <c r="P24" s="107" t="s">
        <v>31</v>
      </c>
      <c r="Q24" s="107" t="s">
        <v>31</v>
      </c>
      <c r="R24" s="13" t="s">
        <v>31</v>
      </c>
      <c r="S24" s="11" t="s">
        <v>31</v>
      </c>
      <c r="T24" s="56" t="s">
        <v>31</v>
      </c>
      <c r="U24" s="39" t="s">
        <v>31</v>
      </c>
      <c r="V24" s="37" t="s">
        <v>45</v>
      </c>
      <c r="W24" s="40">
        <v>43670</v>
      </c>
      <c r="X24" s="39" t="s">
        <v>31</v>
      </c>
    </row>
    <row r="25" spans="1:24" x14ac:dyDescent="0.25">
      <c r="A25" s="124" t="s">
        <v>72</v>
      </c>
      <c r="B25" s="125" t="s">
        <v>93</v>
      </c>
      <c r="C25" s="126">
        <v>100</v>
      </c>
      <c r="D25" s="124">
        <v>5</v>
      </c>
      <c r="E25" s="125">
        <v>3</v>
      </c>
      <c r="F25" s="142" t="s">
        <v>94</v>
      </c>
      <c r="G25" s="124">
        <v>87</v>
      </c>
      <c r="H25" s="125" t="s">
        <v>75</v>
      </c>
      <c r="I25" s="125">
        <v>44</v>
      </c>
      <c r="J25" s="125">
        <v>76</v>
      </c>
      <c r="K25" s="141">
        <v>63</v>
      </c>
      <c r="L25" s="151" t="s">
        <v>90</v>
      </c>
      <c r="M25" s="141" t="s">
        <v>27</v>
      </c>
      <c r="N25" s="37">
        <v>13</v>
      </c>
      <c r="O25" s="12" t="s">
        <v>95</v>
      </c>
      <c r="P25" s="106" t="s">
        <v>96</v>
      </c>
      <c r="Q25" s="106" t="s">
        <v>97</v>
      </c>
      <c r="R25" s="43" t="str">
        <f>HYPERLINK("https://old.iopan.pl/projects/Adamant/Macroplastic-2019/2019-07-24_Yoldiabukta_N (7).JPG","2019-07-24_Yoldiabukta_N (7)")</f>
        <v>2019-07-24_Yoldiabukta_N (7)</v>
      </c>
      <c r="S25" s="11">
        <v>1</v>
      </c>
      <c r="T25" s="56">
        <v>37</v>
      </c>
      <c r="U25" s="39" t="s">
        <v>31</v>
      </c>
      <c r="V25" s="37" t="s">
        <v>36</v>
      </c>
      <c r="W25" s="40">
        <v>43670</v>
      </c>
      <c r="X25" s="41">
        <v>0.93125000000000002</v>
      </c>
    </row>
    <row r="26" spans="1:24" x14ac:dyDescent="0.25">
      <c r="A26" s="119"/>
      <c r="B26" s="121"/>
      <c r="C26" s="123"/>
      <c r="D26" s="119"/>
      <c r="E26" s="121"/>
      <c r="F26" s="146"/>
      <c r="G26" s="119"/>
      <c r="H26" s="121"/>
      <c r="I26" s="121"/>
      <c r="J26" s="121"/>
      <c r="K26" s="140"/>
      <c r="L26" s="145"/>
      <c r="M26" s="140"/>
      <c r="N26" s="37">
        <v>14</v>
      </c>
      <c r="O26" s="12" t="s">
        <v>98</v>
      </c>
      <c r="P26" s="106" t="s">
        <v>99</v>
      </c>
      <c r="Q26" s="106" t="s">
        <v>97</v>
      </c>
      <c r="R26" s="43" t="str">
        <f>HYPERLINK("https://old.iopan.pl/projects/Adamant/Macroplastic-2019/2019-07-24_Yoldiabukta_N (8).JPG","2019-07-24_Yoldiabukta_N (8)")</f>
        <v>2019-07-24_Yoldiabukta_N (8)</v>
      </c>
      <c r="S26" s="11">
        <v>4</v>
      </c>
      <c r="T26" s="56" t="s">
        <v>100</v>
      </c>
      <c r="U26" s="39" t="s">
        <v>31</v>
      </c>
      <c r="V26" s="37" t="s">
        <v>36</v>
      </c>
      <c r="W26" s="40">
        <v>43670</v>
      </c>
      <c r="X26" s="41">
        <v>0.93541666666666667</v>
      </c>
    </row>
    <row r="27" spans="1:24" x14ac:dyDescent="0.25">
      <c r="A27" s="11" t="s">
        <v>72</v>
      </c>
      <c r="B27" s="12" t="s">
        <v>101</v>
      </c>
      <c r="C27" s="13">
        <v>100</v>
      </c>
      <c r="D27" s="11">
        <v>0</v>
      </c>
      <c r="E27" s="12">
        <v>0</v>
      </c>
      <c r="F27" s="13" t="s">
        <v>31</v>
      </c>
      <c r="G27" s="11">
        <v>87</v>
      </c>
      <c r="H27" s="12" t="s">
        <v>75</v>
      </c>
      <c r="I27" s="12">
        <v>44</v>
      </c>
      <c r="J27" s="12">
        <v>76</v>
      </c>
      <c r="K27" s="39">
        <v>63</v>
      </c>
      <c r="L27" s="37" t="s">
        <v>90</v>
      </c>
      <c r="M27" s="39" t="s">
        <v>27</v>
      </c>
      <c r="N27" s="37" t="s">
        <v>31</v>
      </c>
      <c r="O27" s="12" t="s">
        <v>31</v>
      </c>
      <c r="P27" s="107" t="s">
        <v>31</v>
      </c>
      <c r="Q27" s="107" t="s">
        <v>31</v>
      </c>
      <c r="R27" s="13" t="s">
        <v>31</v>
      </c>
      <c r="S27" s="11" t="s">
        <v>31</v>
      </c>
      <c r="T27" s="56" t="s">
        <v>31</v>
      </c>
      <c r="U27" s="39" t="s">
        <v>31</v>
      </c>
      <c r="V27" s="37" t="s">
        <v>45</v>
      </c>
      <c r="W27" s="40">
        <v>43670</v>
      </c>
      <c r="X27" s="39" t="s">
        <v>31</v>
      </c>
    </row>
    <row r="28" spans="1:24" x14ac:dyDescent="0.25">
      <c r="A28" s="11" t="s">
        <v>72</v>
      </c>
      <c r="B28" s="12" t="s">
        <v>102</v>
      </c>
      <c r="C28" s="13">
        <v>100</v>
      </c>
      <c r="D28" s="11">
        <v>0</v>
      </c>
      <c r="E28" s="12">
        <v>0</v>
      </c>
      <c r="F28" s="13" t="s">
        <v>31</v>
      </c>
      <c r="G28" s="11">
        <v>87</v>
      </c>
      <c r="H28" s="9" t="s">
        <v>75</v>
      </c>
      <c r="I28" s="9">
        <v>44</v>
      </c>
      <c r="J28" s="12">
        <v>76</v>
      </c>
      <c r="K28" s="39">
        <v>63</v>
      </c>
      <c r="L28" s="37" t="s">
        <v>90</v>
      </c>
      <c r="M28" s="39" t="s">
        <v>27</v>
      </c>
      <c r="N28" s="37" t="s">
        <v>31</v>
      </c>
      <c r="O28" s="12" t="s">
        <v>31</v>
      </c>
      <c r="P28" s="107" t="s">
        <v>31</v>
      </c>
      <c r="Q28" s="107" t="s">
        <v>31</v>
      </c>
      <c r="R28" s="13" t="s">
        <v>31</v>
      </c>
      <c r="S28" s="11" t="s">
        <v>31</v>
      </c>
      <c r="T28" s="56" t="s">
        <v>31</v>
      </c>
      <c r="U28" s="39" t="s">
        <v>31</v>
      </c>
      <c r="V28" s="37" t="s">
        <v>45</v>
      </c>
      <c r="W28" s="40">
        <v>43670</v>
      </c>
      <c r="X28" s="39" t="s">
        <v>31</v>
      </c>
    </row>
    <row r="29" spans="1:24" x14ac:dyDescent="0.25">
      <c r="A29" s="124" t="s">
        <v>72</v>
      </c>
      <c r="B29" s="125" t="s">
        <v>103</v>
      </c>
      <c r="C29" s="126">
        <v>100</v>
      </c>
      <c r="D29" s="124">
        <v>3</v>
      </c>
      <c r="E29" s="125">
        <v>2</v>
      </c>
      <c r="F29" s="142" t="s">
        <v>104</v>
      </c>
      <c r="G29" s="159">
        <v>87</v>
      </c>
      <c r="H29" s="133" t="s">
        <v>75</v>
      </c>
      <c r="I29" s="133">
        <v>44</v>
      </c>
      <c r="J29" s="151">
        <v>76</v>
      </c>
      <c r="K29" s="141">
        <v>63</v>
      </c>
      <c r="L29" s="151" t="s">
        <v>90</v>
      </c>
      <c r="M29" s="141" t="s">
        <v>27</v>
      </c>
      <c r="N29" s="37">
        <v>15</v>
      </c>
      <c r="O29" s="12" t="s">
        <v>105</v>
      </c>
      <c r="P29" s="106" t="s">
        <v>106</v>
      </c>
      <c r="Q29" s="106" t="s">
        <v>107</v>
      </c>
      <c r="R29" s="43" t="str">
        <f>HYPERLINK("https://old.iopan.pl/projects/Adamant/Macroplastic-2019/2019-07-24_Yoldiabukta_N (9).JPG","2019-07-24_Yoldiabukta_N (9)")</f>
        <v>2019-07-24_Yoldiabukta_N (9)</v>
      </c>
      <c r="S29" s="11">
        <v>1</v>
      </c>
      <c r="T29" s="56">
        <v>46</v>
      </c>
      <c r="U29" s="39" t="s">
        <v>31</v>
      </c>
      <c r="V29" s="37" t="s">
        <v>36</v>
      </c>
      <c r="W29" s="40">
        <v>43670</v>
      </c>
      <c r="X29" s="41">
        <v>0.94305555555555554</v>
      </c>
    </row>
    <row r="30" spans="1:24" x14ac:dyDescent="0.25">
      <c r="A30" s="136"/>
      <c r="B30" s="137"/>
      <c r="C30" s="138"/>
      <c r="D30" s="136"/>
      <c r="E30" s="137"/>
      <c r="F30" s="143"/>
      <c r="G30" s="160"/>
      <c r="H30" s="125"/>
      <c r="I30" s="125"/>
      <c r="J30" s="157"/>
      <c r="K30" s="155"/>
      <c r="L30" s="161"/>
      <c r="M30" s="158"/>
      <c r="N30" s="61">
        <v>16</v>
      </c>
      <c r="O30" s="62" t="s">
        <v>108</v>
      </c>
      <c r="P30" s="110" t="s">
        <v>106</v>
      </c>
      <c r="Q30" s="110" t="s">
        <v>109</v>
      </c>
      <c r="R30" s="63" t="str">
        <f>HYPERLINK("https://old.iopan.pl/projects/Adamant/Macroplastic-2019/2019-07-24_Yoldiabukta_N (10).JPG","2019-07-24_Yoldiabukta_N (10)")</f>
        <v>2019-07-24_Yoldiabukta_N (10)</v>
      </c>
      <c r="S30" s="21">
        <v>2</v>
      </c>
      <c r="T30" s="64" t="s">
        <v>38</v>
      </c>
      <c r="U30" s="45" t="s">
        <v>31</v>
      </c>
      <c r="V30" s="61" t="s">
        <v>71</v>
      </c>
      <c r="W30" s="65">
        <v>43670</v>
      </c>
      <c r="X30" s="66">
        <v>0.98472222222222205</v>
      </c>
    </row>
    <row r="31" spans="1:24" x14ac:dyDescent="0.25">
      <c r="A31" s="5" t="s">
        <v>110</v>
      </c>
      <c r="B31" s="6" t="s">
        <v>111</v>
      </c>
      <c r="C31" s="7">
        <v>100</v>
      </c>
      <c r="D31" s="5">
        <v>0</v>
      </c>
      <c r="E31" s="6">
        <v>0</v>
      </c>
      <c r="F31" s="7" t="s">
        <v>31</v>
      </c>
      <c r="G31" s="15">
        <v>87</v>
      </c>
      <c r="H31" s="16" t="s">
        <v>112</v>
      </c>
      <c r="I31" s="16">
        <v>44</v>
      </c>
      <c r="J31" s="16">
        <v>76</v>
      </c>
      <c r="K31" s="51">
        <v>64</v>
      </c>
      <c r="L31" s="31" t="s">
        <v>90</v>
      </c>
      <c r="M31" s="34" t="s">
        <v>27</v>
      </c>
      <c r="N31" s="31">
        <v>17</v>
      </c>
      <c r="O31" s="6" t="s">
        <v>113</v>
      </c>
      <c r="P31" s="105" t="s">
        <v>114</v>
      </c>
      <c r="Q31" s="105" t="s">
        <v>115</v>
      </c>
      <c r="R31" s="32" t="str">
        <f>HYPERLINK("https://old.iopan.pl/projects/Adamant/Macroplastic-2019/2019-07-26_Yoldiabukta_S (1).JPG","2019-07-26_Yoldiabukta_S (1)")</f>
        <v>2019-07-26_Yoldiabukta_S (1)</v>
      </c>
      <c r="S31" s="5">
        <v>0</v>
      </c>
      <c r="T31" s="67" t="s">
        <v>31</v>
      </c>
      <c r="U31" s="34" t="s">
        <v>31</v>
      </c>
      <c r="V31" s="31" t="s">
        <v>79</v>
      </c>
      <c r="W31" s="35">
        <v>43672</v>
      </c>
      <c r="X31" s="36">
        <v>0.56041666666666667</v>
      </c>
    </row>
    <row r="32" spans="1:24" x14ac:dyDescent="0.25">
      <c r="A32" s="11" t="s">
        <v>110</v>
      </c>
      <c r="B32" s="12" t="s">
        <v>116</v>
      </c>
      <c r="C32" s="13">
        <v>100</v>
      </c>
      <c r="D32" s="11">
        <v>0</v>
      </c>
      <c r="E32" s="12">
        <v>0</v>
      </c>
      <c r="F32" s="13" t="s">
        <v>31</v>
      </c>
      <c r="G32" s="11">
        <v>87</v>
      </c>
      <c r="H32" s="12" t="s">
        <v>112</v>
      </c>
      <c r="I32" s="12">
        <v>44</v>
      </c>
      <c r="J32" s="12">
        <v>76</v>
      </c>
      <c r="K32" s="39">
        <v>64</v>
      </c>
      <c r="L32" s="37" t="s">
        <v>90</v>
      </c>
      <c r="M32" s="39" t="s">
        <v>27</v>
      </c>
      <c r="N32" s="37" t="s">
        <v>31</v>
      </c>
      <c r="O32" s="12" t="s">
        <v>31</v>
      </c>
      <c r="P32" s="107" t="s">
        <v>31</v>
      </c>
      <c r="Q32" s="107" t="s">
        <v>31</v>
      </c>
      <c r="R32" s="13" t="s">
        <v>31</v>
      </c>
      <c r="S32" s="11" t="s">
        <v>31</v>
      </c>
      <c r="T32" s="56" t="s">
        <v>31</v>
      </c>
      <c r="U32" s="39" t="s">
        <v>31</v>
      </c>
      <c r="V32" s="37" t="s">
        <v>45</v>
      </c>
      <c r="W32" s="40">
        <v>43672</v>
      </c>
      <c r="X32" s="39" t="s">
        <v>31</v>
      </c>
    </row>
    <row r="33" spans="1:24" x14ac:dyDescent="0.25">
      <c r="A33" s="131" t="s">
        <v>110</v>
      </c>
      <c r="B33" s="133" t="s">
        <v>117</v>
      </c>
      <c r="C33" s="135">
        <v>100</v>
      </c>
      <c r="D33" s="131">
        <v>2</v>
      </c>
      <c r="E33" s="133">
        <v>2</v>
      </c>
      <c r="F33" s="135" t="s">
        <v>118</v>
      </c>
      <c r="G33" s="131">
        <v>87</v>
      </c>
      <c r="H33" s="133" t="s">
        <v>112</v>
      </c>
      <c r="I33" s="133">
        <v>44</v>
      </c>
      <c r="J33" s="133">
        <v>76</v>
      </c>
      <c r="K33" s="149">
        <v>64</v>
      </c>
      <c r="L33" s="144" t="s">
        <v>90</v>
      </c>
      <c r="M33" s="149" t="s">
        <v>27</v>
      </c>
      <c r="N33" s="144">
        <v>18</v>
      </c>
      <c r="O33" s="133" t="s">
        <v>119</v>
      </c>
      <c r="P33" s="162" t="s">
        <v>120</v>
      </c>
      <c r="Q33" s="162" t="s">
        <v>121</v>
      </c>
      <c r="R33" s="43" t="str">
        <f>HYPERLINK("https://old.iopan.pl/projects/Adamant/Macroplastic-2019/2019-07-26_Yoldiabukta_S (2).JPG","2019-07-26_Yoldiabukta_S (2)")</f>
        <v>2019-07-26_Yoldiabukta_S (2)</v>
      </c>
      <c r="S33" s="11">
        <v>1</v>
      </c>
      <c r="T33" s="56">
        <v>33</v>
      </c>
      <c r="U33" s="39" t="s">
        <v>31</v>
      </c>
      <c r="V33" s="37" t="s">
        <v>36</v>
      </c>
      <c r="W33" s="40">
        <v>43672</v>
      </c>
      <c r="X33" s="41">
        <v>0.56874999999999998</v>
      </c>
    </row>
    <row r="34" spans="1:24" x14ac:dyDescent="0.25">
      <c r="A34" s="131"/>
      <c r="B34" s="133"/>
      <c r="C34" s="135"/>
      <c r="D34" s="131"/>
      <c r="E34" s="133"/>
      <c r="F34" s="135"/>
      <c r="G34" s="131"/>
      <c r="H34" s="133"/>
      <c r="I34" s="133"/>
      <c r="J34" s="133"/>
      <c r="K34" s="149"/>
      <c r="L34" s="144"/>
      <c r="M34" s="149"/>
      <c r="N34" s="144"/>
      <c r="O34" s="133"/>
      <c r="P34" s="162"/>
      <c r="Q34" s="162"/>
      <c r="R34" s="43" t="str">
        <f>HYPERLINK("https://old.iopan.pl/projects/Adamant/Macroplastic-2019/2019-07-26_Yoldiabukta_S (3).JPG","2019-07-26_Yoldiabukta_S (3)")</f>
        <v>2019-07-26_Yoldiabukta_S (3)</v>
      </c>
      <c r="S34" s="11">
        <v>1</v>
      </c>
      <c r="T34" s="56">
        <v>7</v>
      </c>
      <c r="U34" s="39" t="s">
        <v>31</v>
      </c>
      <c r="V34" s="37" t="s">
        <v>36</v>
      </c>
      <c r="W34" s="40">
        <v>43672</v>
      </c>
      <c r="X34" s="41">
        <v>0.56874999999999998</v>
      </c>
    </row>
    <row r="35" spans="1:24" x14ac:dyDescent="0.25">
      <c r="A35" s="131"/>
      <c r="B35" s="133"/>
      <c r="C35" s="135"/>
      <c r="D35" s="131"/>
      <c r="E35" s="133"/>
      <c r="F35" s="135"/>
      <c r="G35" s="131"/>
      <c r="H35" s="133"/>
      <c r="I35" s="133"/>
      <c r="J35" s="133"/>
      <c r="K35" s="149"/>
      <c r="L35" s="144"/>
      <c r="M35" s="149"/>
      <c r="N35" s="37">
        <v>19</v>
      </c>
      <c r="O35" s="12" t="s">
        <v>122</v>
      </c>
      <c r="P35" s="106" t="s">
        <v>114</v>
      </c>
      <c r="Q35" s="106" t="s">
        <v>121</v>
      </c>
      <c r="R35" s="43" t="str">
        <f>HYPERLINK("https://old.iopan.pl/projects/Adamant/Macroplastic-2019/2019-07-26_Yoldiabukta_S (4).JPG","2019-07-26_Yoldiabukta_S (4)")</f>
        <v>2019-07-26_Yoldiabukta_S (4)</v>
      </c>
      <c r="S35" s="11">
        <v>0</v>
      </c>
      <c r="T35" s="56" t="s">
        <v>31</v>
      </c>
      <c r="U35" s="39">
        <v>91</v>
      </c>
      <c r="V35" s="37" t="s">
        <v>36</v>
      </c>
      <c r="W35" s="40">
        <v>43672</v>
      </c>
      <c r="X35" s="41">
        <v>0.57013888888888886</v>
      </c>
    </row>
    <row r="36" spans="1:24" x14ac:dyDescent="0.25">
      <c r="A36" s="131" t="s">
        <v>110</v>
      </c>
      <c r="B36" s="133" t="s">
        <v>123</v>
      </c>
      <c r="C36" s="135">
        <v>100</v>
      </c>
      <c r="D36" s="131">
        <v>3</v>
      </c>
      <c r="E36" s="133">
        <v>2</v>
      </c>
      <c r="F36" s="135" t="s">
        <v>124</v>
      </c>
      <c r="G36" s="131">
        <v>87</v>
      </c>
      <c r="H36" s="133" t="s">
        <v>112</v>
      </c>
      <c r="I36" s="133">
        <v>44</v>
      </c>
      <c r="J36" s="133">
        <v>76</v>
      </c>
      <c r="K36" s="149">
        <v>64</v>
      </c>
      <c r="L36" s="144" t="s">
        <v>90</v>
      </c>
      <c r="M36" s="149" t="s">
        <v>27</v>
      </c>
      <c r="N36" s="37">
        <v>20</v>
      </c>
      <c r="O36" s="12" t="s">
        <v>125</v>
      </c>
      <c r="P36" s="106" t="s">
        <v>114</v>
      </c>
      <c r="Q36" s="106" t="s">
        <v>126</v>
      </c>
      <c r="R36" s="43" t="str">
        <f>HYPERLINK("https://old.iopan.pl/projects/Adamant/Macroplastic-2019/2019-07-26_Yoldiabukta_S (5).JPG","2019-07-26_Yoldiabukta_S (5)")</f>
        <v>2019-07-26_Yoldiabukta_S (5)</v>
      </c>
      <c r="S36" s="11">
        <v>1</v>
      </c>
      <c r="T36" s="56">
        <v>37</v>
      </c>
      <c r="U36" s="39" t="s">
        <v>31</v>
      </c>
      <c r="V36" s="37" t="s">
        <v>36</v>
      </c>
      <c r="W36" s="40">
        <v>43672</v>
      </c>
      <c r="X36" s="41">
        <v>0.57152777777777775</v>
      </c>
    </row>
    <row r="37" spans="1:24" x14ac:dyDescent="0.25">
      <c r="A37" s="131"/>
      <c r="B37" s="133"/>
      <c r="C37" s="135"/>
      <c r="D37" s="131"/>
      <c r="E37" s="133"/>
      <c r="F37" s="135"/>
      <c r="G37" s="131"/>
      <c r="H37" s="133"/>
      <c r="I37" s="133"/>
      <c r="J37" s="133"/>
      <c r="K37" s="149"/>
      <c r="L37" s="144"/>
      <c r="M37" s="149"/>
      <c r="N37" s="37">
        <v>21</v>
      </c>
      <c r="O37" s="12" t="s">
        <v>127</v>
      </c>
      <c r="P37" s="106" t="s">
        <v>120</v>
      </c>
      <c r="Q37" s="106" t="s">
        <v>128</v>
      </c>
      <c r="R37" s="43" t="str">
        <f>HYPERLINK("https://old.iopan.pl/projects/Adamant/Macroplastic-2019/2019-07-26_Yoldiabukta_S (6).JPG","2019-07-26_Yoldiabukta_S (6)")</f>
        <v>2019-07-26_Yoldiabukta_S (6)</v>
      </c>
      <c r="S37" s="11">
        <v>1</v>
      </c>
      <c r="T37" s="56">
        <v>37</v>
      </c>
      <c r="U37" s="39" t="s">
        <v>31</v>
      </c>
      <c r="V37" s="37" t="s">
        <v>36</v>
      </c>
      <c r="W37" s="40">
        <v>43672</v>
      </c>
      <c r="X37" s="41">
        <v>0.57916666666666672</v>
      </c>
    </row>
    <row r="38" spans="1:24" x14ac:dyDescent="0.25">
      <c r="A38" s="131"/>
      <c r="B38" s="133"/>
      <c r="C38" s="135"/>
      <c r="D38" s="131"/>
      <c r="E38" s="133"/>
      <c r="F38" s="135"/>
      <c r="G38" s="131"/>
      <c r="H38" s="133"/>
      <c r="I38" s="133"/>
      <c r="J38" s="133"/>
      <c r="K38" s="149"/>
      <c r="L38" s="144"/>
      <c r="M38" s="149"/>
      <c r="N38" s="37">
        <v>22</v>
      </c>
      <c r="O38" s="12" t="s">
        <v>129</v>
      </c>
      <c r="P38" s="106" t="s">
        <v>114</v>
      </c>
      <c r="Q38" s="106" t="s">
        <v>130</v>
      </c>
      <c r="R38" s="43" t="str">
        <f>HYPERLINK("https://old.iopan.pl/projects/Adamant/Macroplastic-2019/2019-07-26_Yoldiabukta_S (7).JPG","2019-07-26_Yoldiabukta_S (7)")</f>
        <v>2019-07-26_Yoldiabukta_S (7)</v>
      </c>
      <c r="S38" s="11">
        <v>1</v>
      </c>
      <c r="T38" s="56">
        <v>46</v>
      </c>
      <c r="U38" s="39" t="s">
        <v>31</v>
      </c>
      <c r="V38" s="37" t="s">
        <v>36</v>
      </c>
      <c r="W38" s="40">
        <v>43672</v>
      </c>
      <c r="X38" s="41">
        <v>0.5805555555555556</v>
      </c>
    </row>
    <row r="39" spans="1:24" x14ac:dyDescent="0.25">
      <c r="A39" s="11" t="s">
        <v>110</v>
      </c>
      <c r="B39" s="12" t="s">
        <v>131</v>
      </c>
      <c r="C39" s="13">
        <v>100</v>
      </c>
      <c r="D39" s="11">
        <v>1</v>
      </c>
      <c r="E39" s="12">
        <v>1</v>
      </c>
      <c r="F39" s="13">
        <v>46</v>
      </c>
      <c r="G39" s="11">
        <v>87</v>
      </c>
      <c r="H39" s="12" t="s">
        <v>112</v>
      </c>
      <c r="I39" s="12">
        <v>44</v>
      </c>
      <c r="J39" s="12">
        <v>76</v>
      </c>
      <c r="K39" s="39">
        <v>64</v>
      </c>
      <c r="L39" s="37" t="s">
        <v>90</v>
      </c>
      <c r="M39" s="39" t="s">
        <v>27</v>
      </c>
      <c r="N39" s="37">
        <v>23</v>
      </c>
      <c r="O39" s="12" t="s">
        <v>132</v>
      </c>
      <c r="P39" s="106" t="s">
        <v>114</v>
      </c>
      <c r="Q39" s="106" t="s">
        <v>133</v>
      </c>
      <c r="R39" s="43" t="str">
        <f>HYPERLINK("https://old.iopan.pl/projects/Adamant/Macroplastic-2019/2019-07-26_Yoldiabukta_S (8).JPG","2019-07-26_Yoldiabukta_S (8)")</f>
        <v>2019-07-26_Yoldiabukta_S (8)</v>
      </c>
      <c r="S39" s="11">
        <v>1</v>
      </c>
      <c r="T39" s="56">
        <v>46</v>
      </c>
      <c r="U39" s="39" t="s">
        <v>31</v>
      </c>
      <c r="V39" s="37" t="s">
        <v>36</v>
      </c>
      <c r="W39" s="40">
        <v>43672</v>
      </c>
      <c r="X39" s="41">
        <v>0.58124999999999993</v>
      </c>
    </row>
    <row r="40" spans="1:24" x14ac:dyDescent="0.25">
      <c r="A40" s="131" t="s">
        <v>110</v>
      </c>
      <c r="B40" s="133" t="s">
        <v>134</v>
      </c>
      <c r="C40" s="135">
        <v>100</v>
      </c>
      <c r="D40" s="131">
        <v>3</v>
      </c>
      <c r="E40" s="133">
        <v>3</v>
      </c>
      <c r="F40" s="135" t="s">
        <v>135</v>
      </c>
      <c r="G40" s="131">
        <v>87</v>
      </c>
      <c r="H40" s="133" t="s">
        <v>112</v>
      </c>
      <c r="I40" s="133">
        <v>44</v>
      </c>
      <c r="J40" s="133">
        <v>76</v>
      </c>
      <c r="K40" s="149">
        <v>64</v>
      </c>
      <c r="L40" s="144" t="s">
        <v>90</v>
      </c>
      <c r="M40" s="149" t="s">
        <v>27</v>
      </c>
      <c r="N40" s="37">
        <v>24</v>
      </c>
      <c r="O40" s="12" t="s">
        <v>136</v>
      </c>
      <c r="P40" s="106" t="s">
        <v>114</v>
      </c>
      <c r="Q40" s="106" t="s">
        <v>137</v>
      </c>
      <c r="R40" s="43" t="str">
        <f>HYPERLINK("https://old.iopan.pl/projects/Adamant/Macroplastic-2019/2019-07-26_Yoldiabukta_S (9).JPG","2019-07-26_Yoldiabukta_S (9)")</f>
        <v>2019-07-26_Yoldiabukta_S (9)</v>
      </c>
      <c r="S40" s="11">
        <v>1</v>
      </c>
      <c r="T40" s="56">
        <v>4</v>
      </c>
      <c r="U40" s="39" t="s">
        <v>31</v>
      </c>
      <c r="V40" s="37" t="s">
        <v>36</v>
      </c>
      <c r="W40" s="40">
        <v>43672</v>
      </c>
      <c r="X40" s="41">
        <v>0.5854166666666667</v>
      </c>
    </row>
    <row r="41" spans="1:24" x14ac:dyDescent="0.25">
      <c r="A41" s="131"/>
      <c r="B41" s="133"/>
      <c r="C41" s="135"/>
      <c r="D41" s="131"/>
      <c r="E41" s="133"/>
      <c r="F41" s="135"/>
      <c r="G41" s="131"/>
      <c r="H41" s="133"/>
      <c r="I41" s="133"/>
      <c r="J41" s="133"/>
      <c r="K41" s="149"/>
      <c r="L41" s="144"/>
      <c r="M41" s="149"/>
      <c r="N41" s="37">
        <v>25</v>
      </c>
      <c r="O41" s="12" t="s">
        <v>138</v>
      </c>
      <c r="P41" s="106" t="s">
        <v>139</v>
      </c>
      <c r="Q41" s="106" t="s">
        <v>140</v>
      </c>
      <c r="R41" s="43" t="str">
        <f>HYPERLINK("https://old.iopan.pl/projects/Adamant/Macroplastic-2019/2019-07-26_Yoldiabukta_S (10).JPG","2019-07-26_Yoldiabukta_S (10)")</f>
        <v>2019-07-26_Yoldiabukta_S (10)</v>
      </c>
      <c r="S41" s="11">
        <v>1</v>
      </c>
      <c r="T41" s="56">
        <v>46</v>
      </c>
      <c r="U41" s="39" t="s">
        <v>31</v>
      </c>
      <c r="V41" s="37" t="s">
        <v>36</v>
      </c>
      <c r="W41" s="40">
        <v>43672</v>
      </c>
      <c r="X41" s="41">
        <v>0.58611111111111114</v>
      </c>
    </row>
    <row r="42" spans="1:24" x14ac:dyDescent="0.25">
      <c r="A42" s="131"/>
      <c r="B42" s="133"/>
      <c r="C42" s="135"/>
      <c r="D42" s="131"/>
      <c r="E42" s="133"/>
      <c r="F42" s="135"/>
      <c r="G42" s="131"/>
      <c r="H42" s="133"/>
      <c r="I42" s="133"/>
      <c r="J42" s="133"/>
      <c r="K42" s="149"/>
      <c r="L42" s="144"/>
      <c r="M42" s="149"/>
      <c r="N42" s="37">
        <v>26</v>
      </c>
      <c r="O42" s="12" t="s">
        <v>141</v>
      </c>
      <c r="P42" s="106" t="s">
        <v>139</v>
      </c>
      <c r="Q42" s="106" t="s">
        <v>142</v>
      </c>
      <c r="R42" s="43" t="str">
        <f>HYPERLINK("https://old.iopan.pl/projects/Adamant/Macroplastic-2019/2019-07-26_Yoldiabukta_S (11).JPG","2019-07-26_Yoldiabukta_S (11)")</f>
        <v>2019-07-26_Yoldiabukta_S (11)</v>
      </c>
      <c r="S42" s="11">
        <v>1</v>
      </c>
      <c r="T42" s="56">
        <v>32</v>
      </c>
      <c r="U42" s="39" t="s">
        <v>31</v>
      </c>
      <c r="V42" s="37" t="s">
        <v>36</v>
      </c>
      <c r="W42" s="40">
        <v>43672</v>
      </c>
      <c r="X42" s="41">
        <v>0.58750000000000002</v>
      </c>
    </row>
    <row r="43" spans="1:24" x14ac:dyDescent="0.25">
      <c r="A43" s="11" t="s">
        <v>110</v>
      </c>
      <c r="B43" s="12" t="s">
        <v>143</v>
      </c>
      <c r="C43" s="13">
        <v>100</v>
      </c>
      <c r="D43" s="11">
        <v>1</v>
      </c>
      <c r="E43" s="12">
        <v>1</v>
      </c>
      <c r="F43" s="13">
        <v>39</v>
      </c>
      <c r="G43" s="11">
        <v>87</v>
      </c>
      <c r="H43" s="12" t="s">
        <v>112</v>
      </c>
      <c r="I43" s="12">
        <v>44</v>
      </c>
      <c r="J43" s="12">
        <v>76</v>
      </c>
      <c r="K43" s="39">
        <v>64</v>
      </c>
      <c r="L43" s="37" t="s">
        <v>90</v>
      </c>
      <c r="M43" s="39" t="s">
        <v>27</v>
      </c>
      <c r="N43" s="37">
        <v>27</v>
      </c>
      <c r="O43" s="12" t="s">
        <v>144</v>
      </c>
      <c r="P43" s="106" t="s">
        <v>145</v>
      </c>
      <c r="Q43" s="106" t="s">
        <v>146</v>
      </c>
      <c r="R43" s="43" t="str">
        <f>HYPERLINK("https://old.iopan.pl/projects/Adamant/Macroplastic-2019/2019-07-26_Yoldiabukta_S (12).JPG","2019-07-26_Yoldiabukta_S (12)")</f>
        <v>2019-07-26_Yoldiabukta_S (12)</v>
      </c>
      <c r="S43" s="11">
        <v>1</v>
      </c>
      <c r="T43" s="56">
        <v>39</v>
      </c>
      <c r="U43" s="39" t="s">
        <v>31</v>
      </c>
      <c r="V43" s="37" t="s">
        <v>36</v>
      </c>
      <c r="W43" s="40">
        <v>43672</v>
      </c>
      <c r="X43" s="41">
        <v>0.58888888888888891</v>
      </c>
    </row>
    <row r="44" spans="1:24" x14ac:dyDescent="0.25">
      <c r="A44" s="131" t="s">
        <v>110</v>
      </c>
      <c r="B44" s="133" t="s">
        <v>147</v>
      </c>
      <c r="C44" s="135">
        <v>100</v>
      </c>
      <c r="D44" s="131">
        <v>3</v>
      </c>
      <c r="E44" s="133">
        <v>3</v>
      </c>
      <c r="F44" s="135" t="s">
        <v>148</v>
      </c>
      <c r="G44" s="131">
        <v>87</v>
      </c>
      <c r="H44" s="133" t="s">
        <v>112</v>
      </c>
      <c r="I44" s="133">
        <v>44</v>
      </c>
      <c r="J44" s="133">
        <v>76</v>
      </c>
      <c r="K44" s="149">
        <v>64</v>
      </c>
      <c r="L44" s="144" t="s">
        <v>26</v>
      </c>
      <c r="M44" s="149" t="s">
        <v>27</v>
      </c>
      <c r="N44" s="37">
        <v>28</v>
      </c>
      <c r="O44" s="12" t="s">
        <v>149</v>
      </c>
      <c r="P44" s="106" t="s">
        <v>145</v>
      </c>
      <c r="Q44" s="106" t="s">
        <v>150</v>
      </c>
      <c r="R44" s="43" t="str">
        <f>HYPERLINK("https://old.iopan.pl/projects/Adamant/Macroplastic-2019/2019-07-26_Yoldiabukta_S (13).JPG","2019-07-26_Yoldiabukta_S (13)")</f>
        <v>2019-07-26_Yoldiabukta_S (13)</v>
      </c>
      <c r="S44" s="11">
        <v>1</v>
      </c>
      <c r="T44" s="56">
        <v>46</v>
      </c>
      <c r="U44" s="39" t="s">
        <v>31</v>
      </c>
      <c r="V44" s="37" t="s">
        <v>36</v>
      </c>
      <c r="W44" s="40">
        <v>43672</v>
      </c>
      <c r="X44" s="41">
        <v>0.6</v>
      </c>
    </row>
    <row r="45" spans="1:24" x14ac:dyDescent="0.25">
      <c r="A45" s="131"/>
      <c r="B45" s="133"/>
      <c r="C45" s="135"/>
      <c r="D45" s="131"/>
      <c r="E45" s="133"/>
      <c r="F45" s="135"/>
      <c r="G45" s="131"/>
      <c r="H45" s="133"/>
      <c r="I45" s="133"/>
      <c r="J45" s="133"/>
      <c r="K45" s="149"/>
      <c r="L45" s="144"/>
      <c r="M45" s="149"/>
      <c r="N45" s="144">
        <v>29</v>
      </c>
      <c r="O45" s="133" t="s">
        <v>151</v>
      </c>
      <c r="P45" s="162" t="s">
        <v>152</v>
      </c>
      <c r="Q45" s="162" t="s">
        <v>153</v>
      </c>
      <c r="R45" s="43" t="str">
        <f>HYPERLINK("https://old.iopan.pl/projects/Adamant/Macroplastic-2019/2019-07-26_Yoldiabukta_S (14).JPG","2019-07-26_Yoldiabukta_S (14)")</f>
        <v>2019-07-26_Yoldiabukta_S (14)</v>
      </c>
      <c r="S45" s="11">
        <v>1</v>
      </c>
      <c r="T45" s="56">
        <v>12</v>
      </c>
      <c r="U45" s="39" t="s">
        <v>31</v>
      </c>
      <c r="V45" s="37" t="s">
        <v>36</v>
      </c>
      <c r="W45" s="40">
        <v>43672</v>
      </c>
      <c r="X45" s="41">
        <v>0.60069444444444442</v>
      </c>
    </row>
    <row r="46" spans="1:24" x14ac:dyDescent="0.25">
      <c r="A46" s="131"/>
      <c r="B46" s="133"/>
      <c r="C46" s="135"/>
      <c r="D46" s="131"/>
      <c r="E46" s="133"/>
      <c r="F46" s="135"/>
      <c r="G46" s="131"/>
      <c r="H46" s="133"/>
      <c r="I46" s="133"/>
      <c r="J46" s="133"/>
      <c r="K46" s="149"/>
      <c r="L46" s="144"/>
      <c r="M46" s="149"/>
      <c r="N46" s="144"/>
      <c r="O46" s="133"/>
      <c r="P46" s="162"/>
      <c r="Q46" s="162"/>
      <c r="R46" s="43" t="str">
        <f>HYPERLINK("https://old.iopan.pl/projects/Adamant/Macroplastic-2019/2019-07-26_Yoldiabukta_S (15).JPG","2019-07-26_Yoldiabukta_S (15)")</f>
        <v>2019-07-26_Yoldiabukta_S (15)</v>
      </c>
      <c r="S46" s="11">
        <v>1</v>
      </c>
      <c r="T46" s="56">
        <v>48</v>
      </c>
      <c r="U46" s="39" t="s">
        <v>31</v>
      </c>
      <c r="V46" s="37" t="s">
        <v>36</v>
      </c>
      <c r="W46" s="40">
        <v>43672</v>
      </c>
      <c r="X46" s="41">
        <v>0.60069444444444442</v>
      </c>
    </row>
    <row r="47" spans="1:24" x14ac:dyDescent="0.25">
      <c r="A47" s="131" t="s">
        <v>110</v>
      </c>
      <c r="B47" s="133" t="s">
        <v>154</v>
      </c>
      <c r="C47" s="135">
        <v>100</v>
      </c>
      <c r="D47" s="131">
        <v>3</v>
      </c>
      <c r="E47" s="133">
        <v>2</v>
      </c>
      <c r="F47" s="135" t="s">
        <v>104</v>
      </c>
      <c r="G47" s="131">
        <v>87</v>
      </c>
      <c r="H47" s="133" t="s">
        <v>112</v>
      </c>
      <c r="I47" s="133">
        <v>44</v>
      </c>
      <c r="J47" s="133">
        <v>76</v>
      </c>
      <c r="K47" s="149">
        <v>64</v>
      </c>
      <c r="L47" s="144" t="s">
        <v>26</v>
      </c>
      <c r="M47" s="149" t="s">
        <v>59</v>
      </c>
      <c r="N47" s="37">
        <v>30</v>
      </c>
      <c r="O47" s="12" t="s">
        <v>155</v>
      </c>
      <c r="P47" s="106" t="s">
        <v>145</v>
      </c>
      <c r="Q47" s="106" t="s">
        <v>156</v>
      </c>
      <c r="R47" s="43" t="str">
        <f>HYPERLINK("https://old.iopan.pl/projects/Adamant/Macroplastic-2019/2019-07-26_Yoldiabukta_S (16).JPG","2019-07-26_Yoldiabukta_S (16)")</f>
        <v>2019-07-26_Yoldiabukta_S (16)</v>
      </c>
      <c r="S47" s="11">
        <v>1</v>
      </c>
      <c r="T47" s="56">
        <v>48</v>
      </c>
      <c r="U47" s="39"/>
      <c r="V47" s="37" t="s">
        <v>36</v>
      </c>
      <c r="W47" s="40">
        <v>43672</v>
      </c>
      <c r="X47" s="41">
        <v>0.60138888888888886</v>
      </c>
    </row>
    <row r="48" spans="1:24" x14ac:dyDescent="0.25">
      <c r="A48" s="131"/>
      <c r="B48" s="133"/>
      <c r="C48" s="135"/>
      <c r="D48" s="131"/>
      <c r="E48" s="133"/>
      <c r="F48" s="135"/>
      <c r="G48" s="131"/>
      <c r="H48" s="133"/>
      <c r="I48" s="133"/>
      <c r="J48" s="133"/>
      <c r="K48" s="149"/>
      <c r="L48" s="144"/>
      <c r="M48" s="149"/>
      <c r="N48" s="37">
        <v>31</v>
      </c>
      <c r="O48" s="12" t="s">
        <v>157</v>
      </c>
      <c r="P48" s="106" t="s">
        <v>152</v>
      </c>
      <c r="Q48" s="106" t="s">
        <v>158</v>
      </c>
      <c r="R48" s="43" t="str">
        <f>HYPERLINK("https://old.iopan.pl/projects/Adamant/Macroplastic-2019/2019-07-26_Yoldiabukta_S (17).JPG","2019-07-26_Yoldiabukta_S (17)")</f>
        <v>2019-07-26_Yoldiabukta_S (17)</v>
      </c>
      <c r="S48" s="11">
        <v>2</v>
      </c>
      <c r="T48" s="56" t="s">
        <v>159</v>
      </c>
      <c r="U48" s="39" t="s">
        <v>31</v>
      </c>
      <c r="V48" s="37" t="s">
        <v>36</v>
      </c>
      <c r="W48" s="40">
        <v>43672</v>
      </c>
      <c r="X48" s="41">
        <v>0.60625000000000007</v>
      </c>
    </row>
    <row r="49" spans="1:24" x14ac:dyDescent="0.25">
      <c r="A49" s="11" t="s">
        <v>110</v>
      </c>
      <c r="B49" s="12" t="s">
        <v>160</v>
      </c>
      <c r="C49" s="13">
        <v>100</v>
      </c>
      <c r="D49" s="11">
        <v>0</v>
      </c>
      <c r="E49" s="12">
        <v>0</v>
      </c>
      <c r="F49" s="13" t="s">
        <v>31</v>
      </c>
      <c r="G49" s="11">
        <v>87</v>
      </c>
      <c r="H49" s="12" t="s">
        <v>112</v>
      </c>
      <c r="I49" s="12">
        <v>44</v>
      </c>
      <c r="J49" s="12">
        <v>76</v>
      </c>
      <c r="K49" s="39">
        <v>64</v>
      </c>
      <c r="L49" s="37" t="s">
        <v>26</v>
      </c>
      <c r="M49" s="39" t="s">
        <v>27</v>
      </c>
      <c r="N49" s="37" t="s">
        <v>31</v>
      </c>
      <c r="O49" s="12" t="s">
        <v>31</v>
      </c>
      <c r="P49" s="107" t="s">
        <v>31</v>
      </c>
      <c r="Q49" s="107" t="s">
        <v>31</v>
      </c>
      <c r="R49" s="13" t="s">
        <v>31</v>
      </c>
      <c r="S49" s="11" t="s">
        <v>31</v>
      </c>
      <c r="T49" s="56" t="s">
        <v>31</v>
      </c>
      <c r="U49" s="39" t="s">
        <v>31</v>
      </c>
      <c r="V49" s="37" t="s">
        <v>45</v>
      </c>
      <c r="W49" s="40">
        <v>43672</v>
      </c>
      <c r="X49" s="39" t="s">
        <v>31</v>
      </c>
    </row>
    <row r="50" spans="1:24" x14ac:dyDescent="0.25">
      <c r="A50" s="131" t="s">
        <v>110</v>
      </c>
      <c r="B50" s="133" t="s">
        <v>161</v>
      </c>
      <c r="C50" s="135">
        <v>100</v>
      </c>
      <c r="D50" s="131">
        <v>2</v>
      </c>
      <c r="E50" s="133">
        <v>2</v>
      </c>
      <c r="F50" s="135" t="s">
        <v>162</v>
      </c>
      <c r="G50" s="131">
        <v>87</v>
      </c>
      <c r="H50" s="133" t="s">
        <v>112</v>
      </c>
      <c r="I50" s="133">
        <v>44</v>
      </c>
      <c r="J50" s="133">
        <v>76</v>
      </c>
      <c r="K50" s="149">
        <v>64</v>
      </c>
      <c r="L50" s="144" t="s">
        <v>90</v>
      </c>
      <c r="M50" s="149" t="s">
        <v>27</v>
      </c>
      <c r="N50" s="37">
        <v>32</v>
      </c>
      <c r="O50" s="12" t="s">
        <v>163</v>
      </c>
      <c r="P50" s="106" t="s">
        <v>139</v>
      </c>
      <c r="Q50" s="106" t="s">
        <v>164</v>
      </c>
      <c r="R50" s="43" t="str">
        <f>HYPERLINK("https://old.iopan.pl/projects/Adamant/Macroplastic-2019/2019-07-26_Yoldiabukta_S (18).JPG","2019-07-26_Yoldiabukta_S (18)")</f>
        <v>2019-07-26_Yoldiabukta_S (18)</v>
      </c>
      <c r="S50" s="11">
        <v>1</v>
      </c>
      <c r="T50" s="56">
        <v>32</v>
      </c>
      <c r="U50" s="39" t="s">
        <v>31</v>
      </c>
      <c r="V50" s="37" t="s">
        <v>36</v>
      </c>
      <c r="W50" s="40">
        <v>43672</v>
      </c>
      <c r="X50" s="41">
        <v>0.60625000000000007</v>
      </c>
    </row>
    <row r="51" spans="1:24" x14ac:dyDescent="0.25">
      <c r="A51" s="131"/>
      <c r="B51" s="133"/>
      <c r="C51" s="135"/>
      <c r="D51" s="131"/>
      <c r="E51" s="133"/>
      <c r="F51" s="135"/>
      <c r="G51" s="131"/>
      <c r="H51" s="133"/>
      <c r="I51" s="133"/>
      <c r="J51" s="133"/>
      <c r="K51" s="149"/>
      <c r="L51" s="144"/>
      <c r="M51" s="149"/>
      <c r="N51" s="37">
        <v>33</v>
      </c>
      <c r="O51" s="12" t="s">
        <v>165</v>
      </c>
      <c r="P51" s="106" t="s">
        <v>145</v>
      </c>
      <c r="Q51" s="106" t="s">
        <v>164</v>
      </c>
      <c r="R51" s="43" t="str">
        <f>HYPERLINK("https://old.iopan.pl/projects/Adamant/Macroplastic-2019/2019-07-26_Yoldiabukta_S (19).JPG","2019-07-26_Yoldiabukta_S (19)")</f>
        <v>2019-07-26_Yoldiabukta_S (19)</v>
      </c>
      <c r="S51" s="11">
        <v>1</v>
      </c>
      <c r="T51" s="56">
        <v>15</v>
      </c>
      <c r="U51" s="39" t="s">
        <v>31</v>
      </c>
      <c r="V51" s="37" t="s">
        <v>36</v>
      </c>
      <c r="W51" s="40">
        <v>43672</v>
      </c>
      <c r="X51" s="41">
        <v>0.60902777777777783</v>
      </c>
    </row>
    <row r="52" spans="1:24" x14ac:dyDescent="0.25">
      <c r="A52" s="11" t="s">
        <v>110</v>
      </c>
      <c r="B52" s="12" t="s">
        <v>166</v>
      </c>
      <c r="C52" s="13">
        <v>100</v>
      </c>
      <c r="D52" s="11">
        <v>0</v>
      </c>
      <c r="E52" s="12">
        <v>0</v>
      </c>
      <c r="F52" s="13" t="s">
        <v>31</v>
      </c>
      <c r="G52" s="11">
        <v>87</v>
      </c>
      <c r="H52" s="12" t="s">
        <v>112</v>
      </c>
      <c r="I52" s="12">
        <v>44</v>
      </c>
      <c r="J52" s="12">
        <v>76</v>
      </c>
      <c r="K52" s="39">
        <v>64</v>
      </c>
      <c r="L52" s="37" t="s">
        <v>90</v>
      </c>
      <c r="M52" s="39" t="s">
        <v>27</v>
      </c>
      <c r="N52" s="37" t="s">
        <v>31</v>
      </c>
      <c r="O52" s="12" t="s">
        <v>31</v>
      </c>
      <c r="P52" s="107" t="s">
        <v>31</v>
      </c>
      <c r="Q52" s="107" t="s">
        <v>31</v>
      </c>
      <c r="R52" s="13" t="s">
        <v>31</v>
      </c>
      <c r="S52" s="11" t="s">
        <v>31</v>
      </c>
      <c r="T52" s="56" t="s">
        <v>31</v>
      </c>
      <c r="U52" s="39" t="s">
        <v>31</v>
      </c>
      <c r="V52" s="37" t="s">
        <v>45</v>
      </c>
      <c r="W52" s="40">
        <v>43672</v>
      </c>
      <c r="X52" s="39" t="s">
        <v>31</v>
      </c>
    </row>
    <row r="53" spans="1:24" x14ac:dyDescent="0.25">
      <c r="A53" s="131" t="s">
        <v>110</v>
      </c>
      <c r="B53" s="133" t="s">
        <v>167</v>
      </c>
      <c r="C53" s="135">
        <v>100</v>
      </c>
      <c r="D53" s="131">
        <v>7</v>
      </c>
      <c r="E53" s="133">
        <v>6</v>
      </c>
      <c r="F53" s="147" t="s">
        <v>168</v>
      </c>
      <c r="G53" s="131">
        <v>87</v>
      </c>
      <c r="H53" s="133" t="s">
        <v>112</v>
      </c>
      <c r="I53" s="133">
        <v>44</v>
      </c>
      <c r="J53" s="133">
        <v>76</v>
      </c>
      <c r="K53" s="149">
        <v>64</v>
      </c>
      <c r="L53" s="144" t="s">
        <v>90</v>
      </c>
      <c r="M53" s="149" t="s">
        <v>27</v>
      </c>
      <c r="N53" s="37">
        <v>34</v>
      </c>
      <c r="O53" s="12" t="s">
        <v>169</v>
      </c>
      <c r="P53" s="106" t="s">
        <v>145</v>
      </c>
      <c r="Q53" s="106" t="s">
        <v>170</v>
      </c>
      <c r="R53" s="43" t="str">
        <f>HYPERLINK("https://old.iopan.pl/projects/Adamant/Macroplastic-2019/2019-07-26_Yoldiabukta_S (20).JPG","2019-07-26_Yoldiabukta_S (20)")</f>
        <v>2019-07-26_Yoldiabukta_S (20)</v>
      </c>
      <c r="S53" s="11">
        <v>2</v>
      </c>
      <c r="T53" s="56" t="s">
        <v>171</v>
      </c>
      <c r="U53" s="39" t="s">
        <v>31</v>
      </c>
      <c r="V53" s="37" t="s">
        <v>36</v>
      </c>
      <c r="W53" s="40">
        <v>43672</v>
      </c>
      <c r="X53" s="41">
        <v>0.60972222222222217</v>
      </c>
    </row>
    <row r="54" spans="1:24" x14ac:dyDescent="0.25">
      <c r="A54" s="131"/>
      <c r="B54" s="133"/>
      <c r="C54" s="135"/>
      <c r="D54" s="131"/>
      <c r="E54" s="133"/>
      <c r="F54" s="147"/>
      <c r="G54" s="131"/>
      <c r="H54" s="133"/>
      <c r="I54" s="133"/>
      <c r="J54" s="133"/>
      <c r="K54" s="149"/>
      <c r="L54" s="144"/>
      <c r="M54" s="149"/>
      <c r="N54" s="37">
        <v>35</v>
      </c>
      <c r="O54" s="12" t="s">
        <v>172</v>
      </c>
      <c r="P54" s="106" t="s">
        <v>114</v>
      </c>
      <c r="Q54" s="106" t="s">
        <v>173</v>
      </c>
      <c r="R54" s="43" t="str">
        <f>HYPERLINK("https://old.iopan.pl/projects/Adamant/Macroplastic-2019/2019-07-26_Yoldiabukta_S (22).JPG","2019-07-26_Yoldiabukta_S (22)")</f>
        <v>2019-07-26_Yoldiabukta_S (22)</v>
      </c>
      <c r="S54" s="11">
        <v>5</v>
      </c>
      <c r="T54" s="56" t="s">
        <v>174</v>
      </c>
      <c r="U54" s="39" t="s">
        <v>31</v>
      </c>
      <c r="V54" s="37" t="s">
        <v>36</v>
      </c>
      <c r="W54" s="40">
        <v>43672</v>
      </c>
      <c r="X54" s="41">
        <v>0.61805555555555558</v>
      </c>
    </row>
    <row r="55" spans="1:24" x14ac:dyDescent="0.25">
      <c r="A55" s="131" t="s">
        <v>110</v>
      </c>
      <c r="B55" s="133" t="s">
        <v>175</v>
      </c>
      <c r="C55" s="135">
        <v>100</v>
      </c>
      <c r="D55" s="131">
        <v>2</v>
      </c>
      <c r="E55" s="133">
        <v>2</v>
      </c>
      <c r="F55" s="135" t="s">
        <v>176</v>
      </c>
      <c r="G55" s="131">
        <v>87</v>
      </c>
      <c r="H55" s="133" t="s">
        <v>112</v>
      </c>
      <c r="I55" s="133">
        <v>44</v>
      </c>
      <c r="J55" s="133">
        <v>76</v>
      </c>
      <c r="K55" s="149">
        <v>64</v>
      </c>
      <c r="L55" s="144" t="s">
        <v>26</v>
      </c>
      <c r="M55" s="149" t="s">
        <v>87</v>
      </c>
      <c r="N55" s="144">
        <v>36</v>
      </c>
      <c r="O55" s="133" t="s">
        <v>177</v>
      </c>
      <c r="P55" s="162" t="s">
        <v>114</v>
      </c>
      <c r="Q55" s="162" t="s">
        <v>178</v>
      </c>
      <c r="R55" s="43" t="str">
        <f>HYPERLINK("https://old.iopan.pl/projects/Adamant/Macroplastic-2019/2019-07-26_Yoldiabukta_S (23).JPG","2019-07-26_Yoldiabukta_S (23)")</f>
        <v>2019-07-26_Yoldiabukta_S (23)</v>
      </c>
      <c r="S55" s="11">
        <v>1</v>
      </c>
      <c r="T55" s="56">
        <v>48</v>
      </c>
      <c r="U55" s="39" t="s">
        <v>31</v>
      </c>
      <c r="V55" s="37" t="s">
        <v>36</v>
      </c>
      <c r="W55" s="40">
        <v>43672</v>
      </c>
      <c r="X55" s="41">
        <v>0.62083333333333335</v>
      </c>
    </row>
    <row r="56" spans="1:24" x14ac:dyDescent="0.25">
      <c r="A56" s="131"/>
      <c r="B56" s="133"/>
      <c r="C56" s="135"/>
      <c r="D56" s="131"/>
      <c r="E56" s="133"/>
      <c r="F56" s="135"/>
      <c r="G56" s="131"/>
      <c r="H56" s="133"/>
      <c r="I56" s="133"/>
      <c r="J56" s="133"/>
      <c r="K56" s="149"/>
      <c r="L56" s="144"/>
      <c r="M56" s="149"/>
      <c r="N56" s="144"/>
      <c r="O56" s="133"/>
      <c r="P56" s="162"/>
      <c r="Q56" s="162"/>
      <c r="R56" s="43" t="str">
        <f>HYPERLINK("https://old.iopan.pl/projects/Adamant/Macroplastic-2019/2019-07-26_Yoldiabukta_S (24).JPG","2019-07-26_Yoldiabukta_S (24)")</f>
        <v>2019-07-26_Yoldiabukta_S (24)</v>
      </c>
      <c r="S56" s="11">
        <v>1</v>
      </c>
      <c r="T56" s="56">
        <v>4</v>
      </c>
      <c r="U56" s="39" t="s">
        <v>31</v>
      </c>
      <c r="V56" s="37" t="s">
        <v>36</v>
      </c>
      <c r="W56" s="40">
        <v>43672</v>
      </c>
      <c r="X56" s="41">
        <v>0.62083333333333335</v>
      </c>
    </row>
    <row r="57" spans="1:24" x14ac:dyDescent="0.25">
      <c r="A57" s="11" t="s">
        <v>110</v>
      </c>
      <c r="B57" s="12" t="s">
        <v>179</v>
      </c>
      <c r="C57" s="13">
        <v>100</v>
      </c>
      <c r="D57" s="11">
        <v>0</v>
      </c>
      <c r="E57" s="12">
        <v>0</v>
      </c>
      <c r="F57" s="13" t="s">
        <v>31</v>
      </c>
      <c r="G57" s="11">
        <v>87</v>
      </c>
      <c r="H57" s="12" t="s">
        <v>112</v>
      </c>
      <c r="I57" s="12">
        <v>44</v>
      </c>
      <c r="J57" s="12">
        <v>76</v>
      </c>
      <c r="K57" s="39">
        <v>64</v>
      </c>
      <c r="L57" s="37" t="s">
        <v>90</v>
      </c>
      <c r="M57" s="39" t="s">
        <v>27</v>
      </c>
      <c r="N57" s="37" t="s">
        <v>31</v>
      </c>
      <c r="O57" s="12" t="s">
        <v>31</v>
      </c>
      <c r="P57" s="107" t="s">
        <v>31</v>
      </c>
      <c r="Q57" s="107" t="s">
        <v>31</v>
      </c>
      <c r="R57" s="13" t="s">
        <v>31</v>
      </c>
      <c r="S57" s="11" t="s">
        <v>31</v>
      </c>
      <c r="T57" s="56" t="s">
        <v>31</v>
      </c>
      <c r="U57" s="39" t="s">
        <v>31</v>
      </c>
      <c r="V57" s="37" t="s">
        <v>45</v>
      </c>
      <c r="W57" s="40">
        <v>43672</v>
      </c>
      <c r="X57" s="39" t="s">
        <v>31</v>
      </c>
    </row>
    <row r="58" spans="1:24" x14ac:dyDescent="0.25">
      <c r="A58" s="11" t="s">
        <v>110</v>
      </c>
      <c r="B58" s="12" t="s">
        <v>180</v>
      </c>
      <c r="C58" s="13">
        <v>100</v>
      </c>
      <c r="D58" s="11">
        <v>0</v>
      </c>
      <c r="E58" s="12">
        <v>0</v>
      </c>
      <c r="F58" s="13" t="s">
        <v>31</v>
      </c>
      <c r="G58" s="11">
        <v>87</v>
      </c>
      <c r="H58" s="12" t="s">
        <v>112</v>
      </c>
      <c r="I58" s="12">
        <v>44</v>
      </c>
      <c r="J58" s="12">
        <v>76</v>
      </c>
      <c r="K58" s="39">
        <v>64</v>
      </c>
      <c r="L58" s="37" t="s">
        <v>90</v>
      </c>
      <c r="M58" s="39" t="s">
        <v>27</v>
      </c>
      <c r="N58" s="37" t="s">
        <v>31</v>
      </c>
      <c r="O58" s="12" t="s">
        <v>31</v>
      </c>
      <c r="P58" s="107" t="s">
        <v>31</v>
      </c>
      <c r="Q58" s="107" t="s">
        <v>31</v>
      </c>
      <c r="R58" s="13" t="s">
        <v>31</v>
      </c>
      <c r="S58" s="11" t="s">
        <v>31</v>
      </c>
      <c r="T58" s="56" t="s">
        <v>31</v>
      </c>
      <c r="U58" s="39" t="s">
        <v>31</v>
      </c>
      <c r="V58" s="37" t="s">
        <v>45</v>
      </c>
      <c r="W58" s="40">
        <v>43672</v>
      </c>
      <c r="X58" s="39" t="s">
        <v>31</v>
      </c>
    </row>
    <row r="59" spans="1:24" x14ac:dyDescent="0.25">
      <c r="A59" s="131" t="s">
        <v>110</v>
      </c>
      <c r="B59" s="133" t="s">
        <v>181</v>
      </c>
      <c r="C59" s="135">
        <v>100</v>
      </c>
      <c r="D59" s="131">
        <v>8</v>
      </c>
      <c r="E59" s="133">
        <v>4</v>
      </c>
      <c r="F59" s="147" t="s">
        <v>182</v>
      </c>
      <c r="G59" s="131">
        <v>87</v>
      </c>
      <c r="H59" s="133" t="s">
        <v>112</v>
      </c>
      <c r="I59" s="133">
        <v>44</v>
      </c>
      <c r="J59" s="133">
        <v>76</v>
      </c>
      <c r="K59" s="149">
        <v>64</v>
      </c>
      <c r="L59" s="144" t="s">
        <v>90</v>
      </c>
      <c r="M59" s="149" t="s">
        <v>27</v>
      </c>
      <c r="N59" s="144">
        <v>37</v>
      </c>
      <c r="O59" s="133" t="s">
        <v>183</v>
      </c>
      <c r="P59" s="162" t="s">
        <v>114</v>
      </c>
      <c r="Q59" s="162" t="s">
        <v>184</v>
      </c>
      <c r="R59" s="43" t="str">
        <f>HYPERLINK("https://old.iopan.pl/projects/Adamant/Macroplastic-2019/2019-07-26_Yoldiabukta_S (25).JPG","2019-07-26_Yoldiabukta_S (25)")</f>
        <v>2019-07-26_Yoldiabukta_S (25)</v>
      </c>
      <c r="S59" s="11">
        <v>1</v>
      </c>
      <c r="T59" s="56">
        <v>46</v>
      </c>
      <c r="U59" s="39" t="s">
        <v>31</v>
      </c>
      <c r="V59" s="37" t="s">
        <v>36</v>
      </c>
      <c r="W59" s="40">
        <v>43672</v>
      </c>
      <c r="X59" s="41">
        <v>0.62916666666666665</v>
      </c>
    </row>
    <row r="60" spans="1:24" x14ac:dyDescent="0.25">
      <c r="A60" s="131"/>
      <c r="B60" s="133"/>
      <c r="C60" s="135"/>
      <c r="D60" s="131"/>
      <c r="E60" s="133"/>
      <c r="F60" s="147"/>
      <c r="G60" s="131"/>
      <c r="H60" s="133"/>
      <c r="I60" s="133"/>
      <c r="J60" s="133"/>
      <c r="K60" s="149"/>
      <c r="L60" s="144"/>
      <c r="M60" s="149"/>
      <c r="N60" s="144"/>
      <c r="O60" s="133"/>
      <c r="P60" s="162"/>
      <c r="Q60" s="162"/>
      <c r="R60" s="43" t="str">
        <f>HYPERLINK("https://old.iopan.pl/projects/Adamant/Macroplastic-2019/2019-07-26_Yoldiabukta_S (26).JPG","2019-07-26_Yoldiabukta_S (26)")</f>
        <v>2019-07-26_Yoldiabukta_S (26)</v>
      </c>
      <c r="S60" s="11">
        <v>3</v>
      </c>
      <c r="T60" s="56" t="s">
        <v>185</v>
      </c>
      <c r="U60" s="39" t="s">
        <v>31</v>
      </c>
      <c r="V60" s="37" t="s">
        <v>36</v>
      </c>
      <c r="W60" s="40">
        <v>43672</v>
      </c>
      <c r="X60" s="41">
        <v>0.62916666666666665</v>
      </c>
    </row>
    <row r="61" spans="1:24" x14ac:dyDescent="0.25">
      <c r="A61" s="131"/>
      <c r="B61" s="133"/>
      <c r="C61" s="135"/>
      <c r="D61" s="131"/>
      <c r="E61" s="133"/>
      <c r="F61" s="147"/>
      <c r="G61" s="131"/>
      <c r="H61" s="133"/>
      <c r="I61" s="133"/>
      <c r="J61" s="133"/>
      <c r="K61" s="149"/>
      <c r="L61" s="144"/>
      <c r="M61" s="149"/>
      <c r="N61" s="144"/>
      <c r="O61" s="133"/>
      <c r="P61" s="162"/>
      <c r="Q61" s="162"/>
      <c r="R61" s="43" t="str">
        <f>HYPERLINK("https://old.iopan.pl/projects/Adamant/Macroplastic-2019/2019-07-26_Yoldiabukta_S (27).JPG","2019-07-26_Yoldiabukta_S (27)")</f>
        <v>2019-07-26_Yoldiabukta_S (27)</v>
      </c>
      <c r="S61" s="11">
        <v>2</v>
      </c>
      <c r="T61" s="56" t="s">
        <v>186</v>
      </c>
      <c r="U61" s="39" t="s">
        <v>31</v>
      </c>
      <c r="V61" s="37" t="s">
        <v>36</v>
      </c>
      <c r="W61" s="40">
        <v>43672</v>
      </c>
      <c r="X61" s="41">
        <v>0.62986111111111109</v>
      </c>
    </row>
    <row r="62" spans="1:24" x14ac:dyDescent="0.25">
      <c r="A62" s="131"/>
      <c r="B62" s="133"/>
      <c r="C62" s="135"/>
      <c r="D62" s="131"/>
      <c r="E62" s="133"/>
      <c r="F62" s="147"/>
      <c r="G62" s="131"/>
      <c r="H62" s="133"/>
      <c r="I62" s="133"/>
      <c r="J62" s="133"/>
      <c r="K62" s="149"/>
      <c r="L62" s="144"/>
      <c r="M62" s="149"/>
      <c r="N62" s="144">
        <v>38</v>
      </c>
      <c r="O62" s="133" t="s">
        <v>187</v>
      </c>
      <c r="P62" s="162" t="s">
        <v>114</v>
      </c>
      <c r="Q62" s="162" t="s">
        <v>188</v>
      </c>
      <c r="R62" s="43" t="str">
        <f>HYPERLINK("https://old.iopan.pl/projects/Adamant/Macroplastic-2019/2019-07-26_Yoldiabukta_S (28).JPG","2019-07-26_Yoldiabukta_S (28)")</f>
        <v>2019-07-26_Yoldiabukta_S (28)</v>
      </c>
      <c r="S62" s="11">
        <v>1</v>
      </c>
      <c r="T62" s="56">
        <v>37</v>
      </c>
      <c r="U62" s="39" t="s">
        <v>31</v>
      </c>
      <c r="V62" s="37" t="s">
        <v>36</v>
      </c>
      <c r="W62" s="40">
        <v>43672</v>
      </c>
      <c r="X62" s="41">
        <v>0.63263888888888886</v>
      </c>
    </row>
    <row r="63" spans="1:24" x14ac:dyDescent="0.25">
      <c r="A63" s="131"/>
      <c r="B63" s="133"/>
      <c r="C63" s="135"/>
      <c r="D63" s="131"/>
      <c r="E63" s="133"/>
      <c r="F63" s="147"/>
      <c r="G63" s="131"/>
      <c r="H63" s="133"/>
      <c r="I63" s="133"/>
      <c r="J63" s="133"/>
      <c r="K63" s="149"/>
      <c r="L63" s="144"/>
      <c r="M63" s="149"/>
      <c r="N63" s="144"/>
      <c r="O63" s="133"/>
      <c r="P63" s="162"/>
      <c r="Q63" s="162"/>
      <c r="R63" s="43" t="str">
        <f>HYPERLINK("https://old.iopan.pl/projects/Adamant/Macroplastic-2019/2019-07-26_Yoldiabukta_S (29).JPG","2019-07-26_Yoldiabukta_S (29)")</f>
        <v>2019-07-26_Yoldiabukta_S (29)</v>
      </c>
      <c r="S63" s="11" t="s">
        <v>189</v>
      </c>
      <c r="T63" s="56" t="s">
        <v>190</v>
      </c>
      <c r="U63" s="39" t="s">
        <v>31</v>
      </c>
      <c r="V63" s="37" t="s">
        <v>67</v>
      </c>
      <c r="W63" s="40">
        <v>43672</v>
      </c>
      <c r="X63" s="41">
        <v>0.63263888888888886</v>
      </c>
    </row>
    <row r="64" spans="1:24" x14ac:dyDescent="0.25">
      <c r="A64" s="131"/>
      <c r="B64" s="133"/>
      <c r="C64" s="135"/>
      <c r="D64" s="131"/>
      <c r="E64" s="133"/>
      <c r="F64" s="147"/>
      <c r="G64" s="131"/>
      <c r="H64" s="133"/>
      <c r="I64" s="133"/>
      <c r="J64" s="133"/>
      <c r="K64" s="149"/>
      <c r="L64" s="144"/>
      <c r="M64" s="149"/>
      <c r="N64" s="37">
        <v>40</v>
      </c>
      <c r="O64" s="12" t="s">
        <v>191</v>
      </c>
      <c r="P64" s="106" t="s">
        <v>114</v>
      </c>
      <c r="Q64" s="106" t="s">
        <v>192</v>
      </c>
      <c r="R64" s="43" t="str">
        <f>HYPERLINK("https://old.iopan.pl/projects/Adamant/Macroplastic-2019/2019-07-26_Yoldiabukta_S (31).JPG","2019-07-26_Yoldiabukta_S (31)")</f>
        <v>2019-07-26_Yoldiabukta_S (31)</v>
      </c>
      <c r="S64" s="11">
        <v>1</v>
      </c>
      <c r="T64" s="56">
        <v>46</v>
      </c>
      <c r="U64" s="39" t="s">
        <v>31</v>
      </c>
      <c r="V64" s="37" t="s">
        <v>36</v>
      </c>
      <c r="W64" s="40">
        <v>43672</v>
      </c>
      <c r="X64" s="41">
        <v>0.63750000000000007</v>
      </c>
    </row>
    <row r="65" spans="1:24" x14ac:dyDescent="0.25">
      <c r="A65" s="131" t="s">
        <v>110</v>
      </c>
      <c r="B65" s="133" t="s">
        <v>193</v>
      </c>
      <c r="C65" s="135">
        <v>100</v>
      </c>
      <c r="D65" s="131">
        <v>3</v>
      </c>
      <c r="E65" s="133">
        <v>2</v>
      </c>
      <c r="F65" s="135" t="s">
        <v>194</v>
      </c>
      <c r="G65" s="131">
        <v>87</v>
      </c>
      <c r="H65" s="133" t="s">
        <v>112</v>
      </c>
      <c r="I65" s="133">
        <v>44</v>
      </c>
      <c r="J65" s="133">
        <v>76</v>
      </c>
      <c r="K65" s="149">
        <v>64</v>
      </c>
      <c r="L65" s="144" t="s">
        <v>26</v>
      </c>
      <c r="M65" s="149" t="s">
        <v>27</v>
      </c>
      <c r="N65" s="37">
        <v>39</v>
      </c>
      <c r="O65" s="12" t="s">
        <v>195</v>
      </c>
      <c r="P65" s="106" t="s">
        <v>114</v>
      </c>
      <c r="Q65" s="106" t="s">
        <v>196</v>
      </c>
      <c r="R65" s="43" t="str">
        <f>HYPERLINK("https://old.iopan.pl/projects/Adamant/Macroplastic-2019/2019-07-26_Yoldiabukta_S (30).JPG","2019-07-26_Yoldiabukta_S (30)")</f>
        <v>2019-07-26_Yoldiabukta_S (30)</v>
      </c>
      <c r="S65" s="11">
        <v>2</v>
      </c>
      <c r="T65" s="56" t="s">
        <v>186</v>
      </c>
      <c r="U65" s="39">
        <v>76</v>
      </c>
      <c r="V65" s="37" t="s">
        <v>36</v>
      </c>
      <c r="W65" s="40">
        <v>43672</v>
      </c>
      <c r="X65" s="41">
        <v>0.63402777777777775</v>
      </c>
    </row>
    <row r="66" spans="1:24" x14ac:dyDescent="0.25">
      <c r="A66" s="131"/>
      <c r="B66" s="133"/>
      <c r="C66" s="135"/>
      <c r="D66" s="131"/>
      <c r="E66" s="133"/>
      <c r="F66" s="135"/>
      <c r="G66" s="131"/>
      <c r="H66" s="133"/>
      <c r="I66" s="133"/>
      <c r="J66" s="133"/>
      <c r="K66" s="149"/>
      <c r="L66" s="144"/>
      <c r="M66" s="149"/>
      <c r="N66" s="37">
        <v>41</v>
      </c>
      <c r="O66" s="12" t="s">
        <v>197</v>
      </c>
      <c r="P66" s="106" t="s">
        <v>139</v>
      </c>
      <c r="Q66" s="106" t="s">
        <v>198</v>
      </c>
      <c r="R66" s="43" t="str">
        <f>HYPERLINK("https://old.iopan.pl/projects/Adamant/Macroplastic-2019/2019-07-26_Yoldiabukta_S (32).JPG","2019-07-26_Yoldiabukta_S (32)")</f>
        <v>2019-07-26_Yoldiabukta_S (32)</v>
      </c>
      <c r="S66" s="11">
        <v>1</v>
      </c>
      <c r="T66" s="56">
        <v>46</v>
      </c>
      <c r="U66" s="39" t="s">
        <v>31</v>
      </c>
      <c r="V66" s="37" t="s">
        <v>36</v>
      </c>
      <c r="W66" s="40">
        <v>43672</v>
      </c>
      <c r="X66" s="41">
        <v>0.63958333333333328</v>
      </c>
    </row>
    <row r="67" spans="1:24" x14ac:dyDescent="0.25">
      <c r="A67" s="131" t="s">
        <v>110</v>
      </c>
      <c r="B67" s="133" t="s">
        <v>199</v>
      </c>
      <c r="C67" s="135">
        <v>100</v>
      </c>
      <c r="D67" s="131">
        <v>2</v>
      </c>
      <c r="E67" s="133">
        <v>2</v>
      </c>
      <c r="F67" s="135" t="s">
        <v>200</v>
      </c>
      <c r="G67" s="131">
        <v>87</v>
      </c>
      <c r="H67" s="133" t="s">
        <v>112</v>
      </c>
      <c r="I67" s="133">
        <v>44</v>
      </c>
      <c r="J67" s="133">
        <v>76</v>
      </c>
      <c r="K67" s="149">
        <v>64</v>
      </c>
      <c r="L67" s="144" t="s">
        <v>90</v>
      </c>
      <c r="M67" s="149" t="s">
        <v>59</v>
      </c>
      <c r="N67" s="37">
        <v>42</v>
      </c>
      <c r="O67" s="12" t="s">
        <v>201</v>
      </c>
      <c r="P67" s="106" t="s">
        <v>145</v>
      </c>
      <c r="Q67" s="106" t="s">
        <v>202</v>
      </c>
      <c r="R67" s="43" t="str">
        <f>HYPERLINK("https://old.iopan.pl/projects/Adamant/Macroplastic-2019/2019-07-26_Yoldiabukta_S (33).JPG","2019-07-26_Yoldiabukta_S (33)")</f>
        <v>2019-07-26_Yoldiabukta_S (33)</v>
      </c>
      <c r="S67" s="11">
        <v>1</v>
      </c>
      <c r="T67" s="56">
        <v>39</v>
      </c>
      <c r="U67" s="39" t="s">
        <v>31</v>
      </c>
      <c r="V67" s="37" t="s">
        <v>36</v>
      </c>
      <c r="W67" s="40">
        <v>43672</v>
      </c>
      <c r="X67" s="41">
        <v>0.64027777777777783</v>
      </c>
    </row>
    <row r="68" spans="1:24" x14ac:dyDescent="0.25">
      <c r="A68" s="131"/>
      <c r="B68" s="133"/>
      <c r="C68" s="135"/>
      <c r="D68" s="131"/>
      <c r="E68" s="133"/>
      <c r="F68" s="135"/>
      <c r="G68" s="131"/>
      <c r="H68" s="133"/>
      <c r="I68" s="133"/>
      <c r="J68" s="133"/>
      <c r="K68" s="149"/>
      <c r="L68" s="144"/>
      <c r="M68" s="149"/>
      <c r="N68" s="37">
        <v>43</v>
      </c>
      <c r="O68" s="12" t="s">
        <v>203</v>
      </c>
      <c r="P68" s="106" t="s">
        <v>145</v>
      </c>
      <c r="Q68" s="106" t="s">
        <v>204</v>
      </c>
      <c r="R68" s="43" t="str">
        <f>HYPERLINK("https://old.iopan.pl/projects/Adamant/Macroplastic-2019/2019-07-26_Yoldiabukta_S (34).JPG","2019-07-26_Yoldiabukta_S (34)")</f>
        <v>2019-07-26_Yoldiabukta_S (34)</v>
      </c>
      <c r="S68" s="11">
        <v>1</v>
      </c>
      <c r="T68" s="56">
        <v>48</v>
      </c>
      <c r="U68" s="39" t="s">
        <v>31</v>
      </c>
      <c r="V68" s="37" t="s">
        <v>36</v>
      </c>
      <c r="W68" s="40">
        <v>43672</v>
      </c>
      <c r="X68" s="41">
        <v>0.64236111111111105</v>
      </c>
    </row>
    <row r="69" spans="1:24" x14ac:dyDescent="0.25">
      <c r="A69" s="11" t="s">
        <v>110</v>
      </c>
      <c r="B69" s="12" t="s">
        <v>205</v>
      </c>
      <c r="C69" s="13">
        <v>100</v>
      </c>
      <c r="D69" s="11">
        <v>1</v>
      </c>
      <c r="E69" s="12">
        <v>1</v>
      </c>
      <c r="F69" s="13">
        <v>117</v>
      </c>
      <c r="G69" s="11">
        <v>87</v>
      </c>
      <c r="H69" s="12" t="s">
        <v>112</v>
      </c>
      <c r="I69" s="12">
        <v>44</v>
      </c>
      <c r="J69" s="12">
        <v>76</v>
      </c>
      <c r="K69" s="39">
        <v>64</v>
      </c>
      <c r="L69" s="37" t="s">
        <v>26</v>
      </c>
      <c r="M69" s="39" t="s">
        <v>27</v>
      </c>
      <c r="N69" s="37">
        <v>44</v>
      </c>
      <c r="O69" s="12" t="s">
        <v>206</v>
      </c>
      <c r="P69" s="106" t="s">
        <v>145</v>
      </c>
      <c r="Q69" s="106" t="s">
        <v>207</v>
      </c>
      <c r="R69" s="43" t="str">
        <f>HYPERLINK("https://old.iopan.pl/projects/Adamant/Macroplastic-2019/2019-07-26_Yoldiabukta_S (35).JPG","2019-07-26_Yoldiabukta_S (35)")</f>
        <v>2019-07-26_Yoldiabukta_S (35)</v>
      </c>
      <c r="S69" s="11">
        <v>1</v>
      </c>
      <c r="T69" s="56">
        <v>117</v>
      </c>
      <c r="U69" s="39" t="s">
        <v>31</v>
      </c>
      <c r="V69" s="37" t="s">
        <v>36</v>
      </c>
      <c r="W69" s="40">
        <v>43672</v>
      </c>
      <c r="X69" s="41">
        <v>0.6430555555555556</v>
      </c>
    </row>
    <row r="70" spans="1:24" x14ac:dyDescent="0.25">
      <c r="A70" s="124" t="s">
        <v>110</v>
      </c>
      <c r="B70" s="125" t="s">
        <v>208</v>
      </c>
      <c r="C70" s="126">
        <v>100</v>
      </c>
      <c r="D70" s="124">
        <v>1</v>
      </c>
      <c r="E70" s="125">
        <v>1</v>
      </c>
      <c r="F70" s="126">
        <v>48</v>
      </c>
      <c r="G70" s="124">
        <v>87</v>
      </c>
      <c r="H70" s="125" t="s">
        <v>112</v>
      </c>
      <c r="I70" s="125">
        <v>44</v>
      </c>
      <c r="J70" s="125">
        <v>76</v>
      </c>
      <c r="K70" s="141">
        <v>64</v>
      </c>
      <c r="L70" s="151" t="s">
        <v>26</v>
      </c>
      <c r="M70" s="141" t="s">
        <v>27</v>
      </c>
      <c r="N70" s="37">
        <v>45</v>
      </c>
      <c r="O70" s="12" t="s">
        <v>209</v>
      </c>
      <c r="P70" s="106" t="s">
        <v>152</v>
      </c>
      <c r="Q70" s="106" t="s">
        <v>210</v>
      </c>
      <c r="R70" s="43" t="str">
        <f>HYPERLINK("https://old.iopan.pl/projects/Adamant/Macroplastic-2019/2019-07-26_Yoldiabukta_S (36).JPG","2019-07-26_Yoldiabukta_S (36)")</f>
        <v>2019-07-26_Yoldiabukta_S (36)</v>
      </c>
      <c r="S70" s="11">
        <v>1</v>
      </c>
      <c r="T70" s="56">
        <v>48</v>
      </c>
      <c r="U70" s="39" t="s">
        <v>31</v>
      </c>
      <c r="V70" s="37" t="s">
        <v>36</v>
      </c>
      <c r="W70" s="40">
        <v>43672</v>
      </c>
      <c r="X70" s="41">
        <v>0.64513888888888882</v>
      </c>
    </row>
    <row r="71" spans="1:24" x14ac:dyDescent="0.25">
      <c r="A71" s="127"/>
      <c r="B71" s="128"/>
      <c r="C71" s="129"/>
      <c r="D71" s="127"/>
      <c r="E71" s="128"/>
      <c r="F71" s="129"/>
      <c r="G71" s="136"/>
      <c r="H71" s="137"/>
      <c r="I71" s="137"/>
      <c r="J71" s="137"/>
      <c r="K71" s="158"/>
      <c r="L71" s="157"/>
      <c r="M71" s="155"/>
      <c r="N71" s="46">
        <v>46</v>
      </c>
      <c r="O71" s="9" t="s">
        <v>211</v>
      </c>
      <c r="P71" s="108" t="s">
        <v>139</v>
      </c>
      <c r="Q71" s="108" t="s">
        <v>212</v>
      </c>
      <c r="R71" s="57" t="str">
        <f>HYPERLINK("https://old.iopan.pl/projects/Adamant/Macroplastic-2019/2019-07-26_Yoldiabukta_S (38).JPG","2019-07-26_Yoldiabukta_S (38)")</f>
        <v>2019-07-26_Yoldiabukta_S (38)</v>
      </c>
      <c r="S71" s="8">
        <v>0</v>
      </c>
      <c r="T71" s="68" t="s">
        <v>31</v>
      </c>
      <c r="U71" s="42" t="s">
        <v>31</v>
      </c>
      <c r="V71" s="46" t="s">
        <v>56</v>
      </c>
      <c r="W71" s="49">
        <v>43672</v>
      </c>
      <c r="X71" s="50">
        <v>0.64583333333333337</v>
      </c>
    </row>
    <row r="72" spans="1:24" x14ac:dyDescent="0.25">
      <c r="A72" s="130" t="s">
        <v>213</v>
      </c>
      <c r="B72" s="132" t="s">
        <v>214</v>
      </c>
      <c r="C72" s="134">
        <v>100</v>
      </c>
      <c r="D72" s="130">
        <v>19</v>
      </c>
      <c r="E72" s="132">
        <v>8</v>
      </c>
      <c r="F72" s="164" t="s">
        <v>215</v>
      </c>
      <c r="G72" s="119">
        <v>52</v>
      </c>
      <c r="H72" s="121" t="s">
        <v>216</v>
      </c>
      <c r="I72" s="121">
        <v>33</v>
      </c>
      <c r="J72" s="121">
        <v>40</v>
      </c>
      <c r="K72" s="123">
        <v>66</v>
      </c>
      <c r="L72" s="130" t="s">
        <v>90</v>
      </c>
      <c r="M72" s="134" t="s">
        <v>27</v>
      </c>
      <c r="N72" s="130">
        <v>47</v>
      </c>
      <c r="O72" s="132" t="s">
        <v>217</v>
      </c>
      <c r="P72" s="163" t="s">
        <v>218</v>
      </c>
      <c r="Q72" s="163" t="s">
        <v>219</v>
      </c>
      <c r="R72" s="59" t="str">
        <f>HYPERLINK("https://old.iopan.pl/projects/Adamant/Macroplastic-2019/2019-07-27_Borebukta (1).JPG","2019-07-27_Borebukta (1)")</f>
        <v>2019-07-27_Borebukta (1)</v>
      </c>
      <c r="S72" s="15">
        <v>0</v>
      </c>
      <c r="T72" s="53" t="s">
        <v>31</v>
      </c>
      <c r="U72" s="51">
        <v>102</v>
      </c>
      <c r="V72" s="52" t="s">
        <v>79</v>
      </c>
      <c r="W72" s="54">
        <v>43673</v>
      </c>
      <c r="X72" s="55">
        <v>0.70972222222222225</v>
      </c>
    </row>
    <row r="73" spans="1:24" x14ac:dyDescent="0.25">
      <c r="A73" s="131"/>
      <c r="B73" s="133"/>
      <c r="C73" s="135"/>
      <c r="D73" s="131"/>
      <c r="E73" s="133"/>
      <c r="F73" s="147"/>
      <c r="G73" s="131"/>
      <c r="H73" s="133"/>
      <c r="I73" s="133"/>
      <c r="J73" s="133"/>
      <c r="K73" s="135"/>
      <c r="L73" s="131"/>
      <c r="M73" s="135"/>
      <c r="N73" s="131"/>
      <c r="O73" s="133"/>
      <c r="P73" s="162"/>
      <c r="Q73" s="162"/>
      <c r="R73" s="43" t="str">
        <f>HYPERLINK("https://old.iopan.pl/projects/Adamant/Macroplastic-2019/2019-07-27_Borebukta (2).JPG","2019-07-27_Borebukta (2)")</f>
        <v>2019-07-27_Borebukta (2)</v>
      </c>
      <c r="S73" s="11">
        <v>1</v>
      </c>
      <c r="T73" s="56">
        <v>4</v>
      </c>
      <c r="U73" s="39" t="s">
        <v>31</v>
      </c>
      <c r="V73" s="37" t="s">
        <v>36</v>
      </c>
      <c r="W73" s="40">
        <v>43673</v>
      </c>
      <c r="X73" s="41">
        <v>0.7104166666666667</v>
      </c>
    </row>
    <row r="74" spans="1:24" x14ac:dyDescent="0.25">
      <c r="A74" s="131"/>
      <c r="B74" s="133"/>
      <c r="C74" s="135"/>
      <c r="D74" s="131"/>
      <c r="E74" s="133"/>
      <c r="F74" s="147"/>
      <c r="G74" s="131"/>
      <c r="H74" s="133"/>
      <c r="I74" s="133"/>
      <c r="J74" s="133"/>
      <c r="K74" s="135"/>
      <c r="L74" s="131"/>
      <c r="M74" s="135"/>
      <c r="N74" s="11">
        <v>48</v>
      </c>
      <c r="O74" s="12" t="s">
        <v>220</v>
      </c>
      <c r="P74" s="106" t="s">
        <v>221</v>
      </c>
      <c r="Q74" s="106" t="s">
        <v>222</v>
      </c>
      <c r="R74" s="43" t="str">
        <f>HYPERLINK("https://old.iopan.pl/projects/Adamant/Macroplastic-2019/2019-07-27_Borebukta (3).JPG","2019-07-27_Borebukta (3)")</f>
        <v>2019-07-27_Borebukta (3)</v>
      </c>
      <c r="S74" s="11">
        <v>2</v>
      </c>
      <c r="T74" s="56" t="s">
        <v>223</v>
      </c>
      <c r="U74" s="39" t="s">
        <v>31</v>
      </c>
      <c r="V74" s="37" t="s">
        <v>36</v>
      </c>
      <c r="W74" s="40">
        <v>43673</v>
      </c>
      <c r="X74" s="41">
        <v>0.71180555555555547</v>
      </c>
    </row>
    <row r="75" spans="1:24" x14ac:dyDescent="0.25">
      <c r="A75" s="131"/>
      <c r="B75" s="133"/>
      <c r="C75" s="135"/>
      <c r="D75" s="131"/>
      <c r="E75" s="133"/>
      <c r="F75" s="147"/>
      <c r="G75" s="131"/>
      <c r="H75" s="133"/>
      <c r="I75" s="133"/>
      <c r="J75" s="133"/>
      <c r="K75" s="135"/>
      <c r="L75" s="131"/>
      <c r="M75" s="135"/>
      <c r="N75" s="11">
        <v>49</v>
      </c>
      <c r="O75" s="12" t="s">
        <v>224</v>
      </c>
      <c r="P75" s="106" t="s">
        <v>221</v>
      </c>
      <c r="Q75" s="106" t="s">
        <v>219</v>
      </c>
      <c r="R75" s="43" t="str">
        <f>HYPERLINK("https://old.iopan.pl/projects/Adamant/Macroplastic-2019/2019-07-27_Borebukta (4).JPG","2019-07-27_Borebukta (4)")</f>
        <v>2019-07-27_Borebukta (4)</v>
      </c>
      <c r="S75" s="11">
        <v>1</v>
      </c>
      <c r="T75" s="56">
        <v>46</v>
      </c>
      <c r="U75" s="39" t="s">
        <v>31</v>
      </c>
      <c r="V75" s="37" t="s">
        <v>36</v>
      </c>
      <c r="W75" s="40">
        <v>43673</v>
      </c>
      <c r="X75" s="41">
        <v>0.71180555555555547</v>
      </c>
    </row>
    <row r="76" spans="1:24" x14ac:dyDescent="0.25">
      <c r="A76" s="131"/>
      <c r="B76" s="133"/>
      <c r="C76" s="135"/>
      <c r="D76" s="131"/>
      <c r="E76" s="133"/>
      <c r="F76" s="147"/>
      <c r="G76" s="131"/>
      <c r="H76" s="133"/>
      <c r="I76" s="133"/>
      <c r="J76" s="133"/>
      <c r="K76" s="135"/>
      <c r="L76" s="131"/>
      <c r="M76" s="135"/>
      <c r="N76" s="11">
        <v>50</v>
      </c>
      <c r="O76" s="12" t="s">
        <v>225</v>
      </c>
      <c r="P76" s="106" t="s">
        <v>226</v>
      </c>
      <c r="Q76" s="106" t="s">
        <v>227</v>
      </c>
      <c r="R76" s="43" t="str">
        <f>HYPERLINK("https://old.iopan.pl/projects/Adamant/Macroplastic-2019/2019-07-27_Borebukta (5).JPG","2019-07-27_Borebukta (5)")</f>
        <v>2019-07-27_Borebukta (5)</v>
      </c>
      <c r="S76" s="11">
        <v>1</v>
      </c>
      <c r="T76" s="56">
        <v>15</v>
      </c>
      <c r="U76" s="39" t="s">
        <v>31</v>
      </c>
      <c r="V76" s="37" t="s">
        <v>36</v>
      </c>
      <c r="W76" s="40">
        <v>43673</v>
      </c>
      <c r="X76" s="41">
        <v>0.71250000000000002</v>
      </c>
    </row>
    <row r="77" spans="1:24" x14ac:dyDescent="0.25">
      <c r="A77" s="131"/>
      <c r="B77" s="133"/>
      <c r="C77" s="135"/>
      <c r="D77" s="131"/>
      <c r="E77" s="133"/>
      <c r="F77" s="147"/>
      <c r="G77" s="131"/>
      <c r="H77" s="133"/>
      <c r="I77" s="133"/>
      <c r="J77" s="133"/>
      <c r="K77" s="135"/>
      <c r="L77" s="131"/>
      <c r="M77" s="135"/>
      <c r="N77" s="11">
        <v>51</v>
      </c>
      <c r="O77" s="12" t="s">
        <v>224</v>
      </c>
      <c r="P77" s="106" t="s">
        <v>221</v>
      </c>
      <c r="Q77" s="106" t="s">
        <v>219</v>
      </c>
      <c r="R77" s="43" t="str">
        <f>HYPERLINK("https://old.iopan.pl/projects/Adamant/Macroplastic-2019/2019-07-27_Borebukta (6).JPG","2019-07-27_Borebukta (6)")</f>
        <v>2019-07-27_Borebukta (6)</v>
      </c>
      <c r="S77" s="11">
        <v>3</v>
      </c>
      <c r="T77" s="56" t="s">
        <v>228</v>
      </c>
      <c r="U77" s="39" t="s">
        <v>31</v>
      </c>
      <c r="V77" s="37" t="s">
        <v>36</v>
      </c>
      <c r="W77" s="40">
        <v>43673</v>
      </c>
      <c r="X77" s="41">
        <v>0.71319444444444446</v>
      </c>
    </row>
    <row r="78" spans="1:24" x14ac:dyDescent="0.25">
      <c r="A78" s="131"/>
      <c r="B78" s="133"/>
      <c r="C78" s="135"/>
      <c r="D78" s="131"/>
      <c r="E78" s="133"/>
      <c r="F78" s="147"/>
      <c r="G78" s="131"/>
      <c r="H78" s="133"/>
      <c r="I78" s="133"/>
      <c r="J78" s="133"/>
      <c r="K78" s="135"/>
      <c r="L78" s="131"/>
      <c r="M78" s="135"/>
      <c r="N78" s="11">
        <v>52</v>
      </c>
      <c r="O78" s="12" t="s">
        <v>220</v>
      </c>
      <c r="P78" s="106" t="s">
        <v>221</v>
      </c>
      <c r="Q78" s="106" t="s">
        <v>222</v>
      </c>
      <c r="R78" s="43" t="str">
        <f>HYPERLINK("https://old.iopan.pl/projects/Adamant/Macroplastic-2019/2019-07-27_Borebukta (7).JPG","2019-07-27_Borebukta (7)")</f>
        <v>2019-07-27_Borebukta (7)</v>
      </c>
      <c r="S78" s="11">
        <v>2</v>
      </c>
      <c r="T78" s="56" t="s">
        <v>229</v>
      </c>
      <c r="U78" s="39" t="s">
        <v>31</v>
      </c>
      <c r="V78" s="37" t="s">
        <v>36</v>
      </c>
      <c r="W78" s="40">
        <v>43673</v>
      </c>
      <c r="X78" s="41">
        <v>0.71388888888888891</v>
      </c>
    </row>
    <row r="79" spans="1:24" x14ac:dyDescent="0.25">
      <c r="A79" s="131"/>
      <c r="B79" s="133"/>
      <c r="C79" s="135"/>
      <c r="D79" s="131"/>
      <c r="E79" s="133"/>
      <c r="F79" s="147"/>
      <c r="G79" s="131"/>
      <c r="H79" s="133"/>
      <c r="I79" s="133"/>
      <c r="J79" s="133"/>
      <c r="K79" s="135"/>
      <c r="L79" s="131"/>
      <c r="M79" s="135"/>
      <c r="N79" s="131">
        <v>53</v>
      </c>
      <c r="O79" s="133" t="s">
        <v>230</v>
      </c>
      <c r="P79" s="162" t="s">
        <v>221</v>
      </c>
      <c r="Q79" s="162" t="s">
        <v>231</v>
      </c>
      <c r="R79" s="43" t="str">
        <f>HYPERLINK("https://old.iopan.pl/projects/Adamant/Macroplastic-2019/2019-07-27_Borebukta (8).JPG","2019-07-27_Borebukta (8)")</f>
        <v>2019-07-27_Borebukta (8)</v>
      </c>
      <c r="S79" s="11">
        <v>4</v>
      </c>
      <c r="T79" s="56" t="s">
        <v>232</v>
      </c>
      <c r="U79" s="39" t="s">
        <v>31</v>
      </c>
      <c r="V79" s="37" t="s">
        <v>36</v>
      </c>
      <c r="W79" s="40">
        <v>43673</v>
      </c>
      <c r="X79" s="41">
        <v>0.71458333333333324</v>
      </c>
    </row>
    <row r="80" spans="1:24" x14ac:dyDescent="0.25">
      <c r="A80" s="131"/>
      <c r="B80" s="133"/>
      <c r="C80" s="135"/>
      <c r="D80" s="131"/>
      <c r="E80" s="133"/>
      <c r="F80" s="147"/>
      <c r="G80" s="131"/>
      <c r="H80" s="133"/>
      <c r="I80" s="133"/>
      <c r="J80" s="133"/>
      <c r="K80" s="135"/>
      <c r="L80" s="131"/>
      <c r="M80" s="135"/>
      <c r="N80" s="131"/>
      <c r="O80" s="133"/>
      <c r="P80" s="162"/>
      <c r="Q80" s="162"/>
      <c r="R80" s="43" t="str">
        <f>HYPERLINK("https://old.iopan.pl/projects/Adamant/Macroplastic-2019/2019-07-27_Borebukta (9).JPG","2019-07-27_Borebukta (9)")</f>
        <v>2019-07-27_Borebukta (9)</v>
      </c>
      <c r="S80" s="11">
        <v>1</v>
      </c>
      <c r="T80" s="56">
        <v>48</v>
      </c>
      <c r="U80" s="39" t="s">
        <v>31</v>
      </c>
      <c r="V80" s="37" t="s">
        <v>36</v>
      </c>
      <c r="W80" s="40">
        <v>43673</v>
      </c>
      <c r="X80" s="41">
        <v>0.71458333333333324</v>
      </c>
    </row>
    <row r="81" spans="1:24" x14ac:dyDescent="0.25">
      <c r="A81" s="131"/>
      <c r="B81" s="133"/>
      <c r="C81" s="135"/>
      <c r="D81" s="131"/>
      <c r="E81" s="133"/>
      <c r="F81" s="147"/>
      <c r="G81" s="131"/>
      <c r="H81" s="133"/>
      <c r="I81" s="133"/>
      <c r="J81" s="133"/>
      <c r="K81" s="135"/>
      <c r="L81" s="131"/>
      <c r="M81" s="135"/>
      <c r="N81" s="131">
        <v>54</v>
      </c>
      <c r="O81" s="133" t="s">
        <v>233</v>
      </c>
      <c r="P81" s="162" t="s">
        <v>226</v>
      </c>
      <c r="Q81" s="162" t="s">
        <v>231</v>
      </c>
      <c r="R81" s="43" t="str">
        <f>HYPERLINK("https://old.iopan.pl/projects/Adamant/Macroplastic-2019/2019-07-27_Borebukta (10).JPG","2019-07-27_Borebukta (10)")</f>
        <v>2019-07-27_Borebukta (10)</v>
      </c>
      <c r="S81" s="11">
        <v>1</v>
      </c>
      <c r="T81" s="56">
        <v>46</v>
      </c>
      <c r="U81" s="39" t="s">
        <v>234</v>
      </c>
      <c r="V81" s="37" t="s">
        <v>36</v>
      </c>
      <c r="W81" s="40">
        <v>43673</v>
      </c>
      <c r="X81" s="41">
        <v>0.71597222222222223</v>
      </c>
    </row>
    <row r="82" spans="1:24" x14ac:dyDescent="0.25">
      <c r="A82" s="131"/>
      <c r="B82" s="133"/>
      <c r="C82" s="135"/>
      <c r="D82" s="131"/>
      <c r="E82" s="133"/>
      <c r="F82" s="147"/>
      <c r="G82" s="131"/>
      <c r="H82" s="133"/>
      <c r="I82" s="133"/>
      <c r="J82" s="133"/>
      <c r="K82" s="135"/>
      <c r="L82" s="131"/>
      <c r="M82" s="135"/>
      <c r="N82" s="131"/>
      <c r="O82" s="133"/>
      <c r="P82" s="162"/>
      <c r="Q82" s="162"/>
      <c r="R82" s="43" t="str">
        <f>HYPERLINK("https://old.iopan.pl/projects/Adamant/Macroplastic-2019/2019-07-27_Borebukta (11).JPG","2019-07-27_Borebukta (11)")</f>
        <v>2019-07-27_Borebukta (11)</v>
      </c>
      <c r="S82" s="11">
        <v>1</v>
      </c>
      <c r="T82" s="56">
        <v>15</v>
      </c>
      <c r="U82" s="39" t="s">
        <v>31</v>
      </c>
      <c r="V82" s="37" t="s">
        <v>36</v>
      </c>
      <c r="W82" s="40">
        <v>43673</v>
      </c>
      <c r="X82" s="41">
        <v>0.71666666666666667</v>
      </c>
    </row>
    <row r="83" spans="1:24" x14ac:dyDescent="0.25">
      <c r="A83" s="131"/>
      <c r="B83" s="133"/>
      <c r="C83" s="135"/>
      <c r="D83" s="131"/>
      <c r="E83" s="133"/>
      <c r="F83" s="147"/>
      <c r="G83" s="131"/>
      <c r="H83" s="133"/>
      <c r="I83" s="133"/>
      <c r="J83" s="133"/>
      <c r="K83" s="135"/>
      <c r="L83" s="131"/>
      <c r="M83" s="135"/>
      <c r="N83" s="11">
        <v>55</v>
      </c>
      <c r="O83" s="12" t="s">
        <v>235</v>
      </c>
      <c r="P83" s="106" t="s">
        <v>236</v>
      </c>
      <c r="Q83" s="106" t="s">
        <v>237</v>
      </c>
      <c r="R83" s="43" t="str">
        <f>HYPERLINK("https://old.iopan.pl/projects/Adamant/Macroplastic-2019/2019-07-27_Borebukta (12).JPG","2019-07-27_Borebukta (12)")</f>
        <v>2019-07-27_Borebukta (12)</v>
      </c>
      <c r="S83" s="11">
        <v>2</v>
      </c>
      <c r="T83" s="56" t="s">
        <v>238</v>
      </c>
      <c r="U83" s="39" t="s">
        <v>31</v>
      </c>
      <c r="V83" s="37" t="s">
        <v>36</v>
      </c>
      <c r="W83" s="40">
        <v>43673</v>
      </c>
      <c r="X83" s="41">
        <v>0.71805555555555556</v>
      </c>
    </row>
    <row r="84" spans="1:24" x14ac:dyDescent="0.25">
      <c r="A84" s="11" t="s">
        <v>213</v>
      </c>
      <c r="B84" s="12" t="s">
        <v>239</v>
      </c>
      <c r="C84" s="13">
        <v>100</v>
      </c>
      <c r="D84" s="11">
        <v>1</v>
      </c>
      <c r="E84" s="12">
        <v>1</v>
      </c>
      <c r="F84" s="13">
        <v>115</v>
      </c>
      <c r="G84" s="11">
        <v>52</v>
      </c>
      <c r="H84" s="12" t="s">
        <v>216</v>
      </c>
      <c r="I84" s="12">
        <v>33</v>
      </c>
      <c r="J84" s="12">
        <v>40</v>
      </c>
      <c r="K84" s="13">
        <v>66</v>
      </c>
      <c r="L84" s="11" t="s">
        <v>90</v>
      </c>
      <c r="M84" s="13" t="s">
        <v>27</v>
      </c>
      <c r="N84" s="11">
        <v>56</v>
      </c>
      <c r="O84" s="12" t="s">
        <v>240</v>
      </c>
      <c r="P84" s="106" t="s">
        <v>236</v>
      </c>
      <c r="Q84" s="106" t="s">
        <v>241</v>
      </c>
      <c r="R84" s="43" t="str">
        <f>HYPERLINK("https://old.iopan.pl/projects/Adamant/Macroplastic-2019/2019-07-27_Borebukta (13).JPG","2019-07-27_Borebukta (13)")</f>
        <v>2019-07-27_Borebukta (13)</v>
      </c>
      <c r="S84" s="11">
        <v>1</v>
      </c>
      <c r="T84" s="56">
        <v>115</v>
      </c>
      <c r="U84" s="39" t="s">
        <v>242</v>
      </c>
      <c r="V84" s="37" t="s">
        <v>36</v>
      </c>
      <c r="W84" s="40">
        <v>43673</v>
      </c>
      <c r="X84" s="41">
        <v>0.71875</v>
      </c>
    </row>
    <row r="85" spans="1:24" x14ac:dyDescent="0.25">
      <c r="A85" s="11" t="s">
        <v>213</v>
      </c>
      <c r="B85" s="12" t="s">
        <v>243</v>
      </c>
      <c r="C85" s="13">
        <v>100</v>
      </c>
      <c r="D85" s="11">
        <v>0</v>
      </c>
      <c r="E85" s="12">
        <v>0</v>
      </c>
      <c r="F85" s="13" t="s">
        <v>31</v>
      </c>
      <c r="G85" s="11">
        <v>52</v>
      </c>
      <c r="H85" s="12" t="s">
        <v>216</v>
      </c>
      <c r="I85" s="12">
        <v>33</v>
      </c>
      <c r="J85" s="12">
        <v>40</v>
      </c>
      <c r="K85" s="13">
        <v>66</v>
      </c>
      <c r="L85" s="11" t="s">
        <v>90</v>
      </c>
      <c r="M85" s="13" t="s">
        <v>27</v>
      </c>
      <c r="N85" s="11" t="s">
        <v>31</v>
      </c>
      <c r="O85" s="12" t="s">
        <v>31</v>
      </c>
      <c r="P85" s="107" t="s">
        <v>31</v>
      </c>
      <c r="Q85" s="107" t="s">
        <v>31</v>
      </c>
      <c r="R85" s="13" t="s">
        <v>31</v>
      </c>
      <c r="S85" s="11" t="s">
        <v>31</v>
      </c>
      <c r="T85" s="56" t="s">
        <v>31</v>
      </c>
      <c r="U85" s="39" t="s">
        <v>31</v>
      </c>
      <c r="V85" s="37" t="s">
        <v>45</v>
      </c>
      <c r="W85" s="40">
        <v>43673</v>
      </c>
      <c r="X85" s="39" t="s">
        <v>31</v>
      </c>
    </row>
    <row r="86" spans="1:24" x14ac:dyDescent="0.25">
      <c r="A86" s="131" t="s">
        <v>213</v>
      </c>
      <c r="B86" s="133" t="s">
        <v>244</v>
      </c>
      <c r="C86" s="135">
        <v>100</v>
      </c>
      <c r="D86" s="131">
        <v>3</v>
      </c>
      <c r="E86" s="133">
        <v>3</v>
      </c>
      <c r="F86" s="135" t="s">
        <v>245</v>
      </c>
      <c r="G86" s="131">
        <v>52</v>
      </c>
      <c r="H86" s="133" t="s">
        <v>216</v>
      </c>
      <c r="I86" s="133">
        <v>33</v>
      </c>
      <c r="J86" s="133">
        <v>40</v>
      </c>
      <c r="K86" s="135">
        <v>66</v>
      </c>
      <c r="L86" s="131" t="s">
        <v>90</v>
      </c>
      <c r="M86" s="135" t="s">
        <v>27</v>
      </c>
      <c r="N86" s="11">
        <v>57</v>
      </c>
      <c r="O86" s="12" t="s">
        <v>246</v>
      </c>
      <c r="P86" s="106" t="s">
        <v>247</v>
      </c>
      <c r="Q86" s="106" t="s">
        <v>248</v>
      </c>
      <c r="R86" s="43" t="str">
        <f>HYPERLINK("https://old.iopan.pl/projects/Adamant/Macroplastic-2019/2019-07-27_Borebukta (17).JPG","2019-07-27_Borebukta (17)")</f>
        <v>2019-07-27_Borebukta (17)</v>
      </c>
      <c r="S86" s="11">
        <v>2</v>
      </c>
      <c r="T86" s="56" t="s">
        <v>176</v>
      </c>
      <c r="U86" s="39" t="s">
        <v>31</v>
      </c>
      <c r="V86" s="37" t="s">
        <v>36</v>
      </c>
      <c r="W86" s="40">
        <v>43673</v>
      </c>
      <c r="X86" s="41">
        <v>0.73888888888888893</v>
      </c>
    </row>
    <row r="87" spans="1:24" x14ac:dyDescent="0.25">
      <c r="A87" s="131"/>
      <c r="B87" s="133"/>
      <c r="C87" s="135"/>
      <c r="D87" s="131"/>
      <c r="E87" s="133"/>
      <c r="F87" s="135"/>
      <c r="G87" s="131"/>
      <c r="H87" s="133"/>
      <c r="I87" s="133"/>
      <c r="J87" s="133"/>
      <c r="K87" s="135"/>
      <c r="L87" s="131"/>
      <c r="M87" s="135"/>
      <c r="N87" s="11">
        <v>58</v>
      </c>
      <c r="O87" s="12" t="s">
        <v>249</v>
      </c>
      <c r="P87" s="106" t="s">
        <v>250</v>
      </c>
      <c r="Q87" s="106" t="s">
        <v>146</v>
      </c>
      <c r="R87" s="43" t="str">
        <f>HYPERLINK("https://old.iopan.pl/projects/Adamant/Macroplastic-2019/2019-07-27_Borebukta (18).JPG","2019-07-27_Borebukta (18)")</f>
        <v>2019-07-27_Borebukta (18)</v>
      </c>
      <c r="S87" s="11">
        <v>1</v>
      </c>
      <c r="T87" s="56">
        <v>46</v>
      </c>
      <c r="U87" s="39" t="s">
        <v>31</v>
      </c>
      <c r="V87" s="37" t="s">
        <v>36</v>
      </c>
      <c r="W87" s="40">
        <v>43673</v>
      </c>
      <c r="X87" s="41">
        <v>0.74583333333333324</v>
      </c>
    </row>
    <row r="88" spans="1:24" x14ac:dyDescent="0.25">
      <c r="A88" s="11" t="s">
        <v>213</v>
      </c>
      <c r="B88" s="12" t="s">
        <v>251</v>
      </c>
      <c r="C88" s="13">
        <v>100</v>
      </c>
      <c r="D88" s="11">
        <v>0</v>
      </c>
      <c r="E88" s="12">
        <v>0</v>
      </c>
      <c r="F88" s="13" t="s">
        <v>31</v>
      </c>
      <c r="G88" s="11">
        <v>52</v>
      </c>
      <c r="H88" s="12" t="s">
        <v>216</v>
      </c>
      <c r="I88" s="12">
        <v>33</v>
      </c>
      <c r="J88" s="12">
        <v>40</v>
      </c>
      <c r="K88" s="13">
        <v>66</v>
      </c>
      <c r="L88" s="11" t="s">
        <v>90</v>
      </c>
      <c r="M88" s="13" t="s">
        <v>27</v>
      </c>
      <c r="N88" s="11" t="s">
        <v>31</v>
      </c>
      <c r="O88" s="12" t="s">
        <v>31</v>
      </c>
      <c r="P88" s="107" t="s">
        <v>31</v>
      </c>
      <c r="Q88" s="107" t="s">
        <v>31</v>
      </c>
      <c r="R88" s="13" t="s">
        <v>31</v>
      </c>
      <c r="S88" s="11" t="s">
        <v>31</v>
      </c>
      <c r="T88" s="56" t="s">
        <v>31</v>
      </c>
      <c r="U88" s="39" t="s">
        <v>31</v>
      </c>
      <c r="V88" s="37" t="s">
        <v>45</v>
      </c>
      <c r="W88" s="40">
        <v>43673</v>
      </c>
      <c r="X88" s="39" t="s">
        <v>31</v>
      </c>
    </row>
    <row r="89" spans="1:24" x14ac:dyDescent="0.25">
      <c r="A89" s="11" t="s">
        <v>213</v>
      </c>
      <c r="B89" s="12" t="s">
        <v>252</v>
      </c>
      <c r="C89" s="13">
        <v>100</v>
      </c>
      <c r="D89" s="11">
        <v>0</v>
      </c>
      <c r="E89" s="12">
        <v>0</v>
      </c>
      <c r="F89" s="13" t="s">
        <v>31</v>
      </c>
      <c r="G89" s="11">
        <v>52</v>
      </c>
      <c r="H89" s="12" t="s">
        <v>216</v>
      </c>
      <c r="I89" s="12">
        <v>33</v>
      </c>
      <c r="J89" s="12">
        <v>40</v>
      </c>
      <c r="K89" s="13">
        <v>66</v>
      </c>
      <c r="L89" s="11" t="s">
        <v>90</v>
      </c>
      <c r="M89" s="13" t="s">
        <v>27</v>
      </c>
      <c r="N89" s="11" t="s">
        <v>31</v>
      </c>
      <c r="O89" s="12" t="s">
        <v>31</v>
      </c>
      <c r="P89" s="107" t="s">
        <v>31</v>
      </c>
      <c r="Q89" s="107" t="s">
        <v>31</v>
      </c>
      <c r="R89" s="13" t="s">
        <v>31</v>
      </c>
      <c r="S89" s="11" t="s">
        <v>31</v>
      </c>
      <c r="T89" s="56" t="s">
        <v>31</v>
      </c>
      <c r="U89" s="39" t="s">
        <v>31</v>
      </c>
      <c r="V89" s="37" t="s">
        <v>45</v>
      </c>
      <c r="W89" s="40">
        <v>43673</v>
      </c>
      <c r="X89" s="39" t="s">
        <v>31</v>
      </c>
    </row>
    <row r="90" spans="1:24" x14ac:dyDescent="0.25">
      <c r="A90" s="11" t="s">
        <v>213</v>
      </c>
      <c r="B90" s="12" t="s">
        <v>253</v>
      </c>
      <c r="C90" s="13">
        <v>100</v>
      </c>
      <c r="D90" s="11">
        <v>0</v>
      </c>
      <c r="E90" s="12">
        <v>0</v>
      </c>
      <c r="F90" s="13" t="s">
        <v>31</v>
      </c>
      <c r="G90" s="11">
        <v>52</v>
      </c>
      <c r="H90" s="12" t="s">
        <v>216</v>
      </c>
      <c r="I90" s="12">
        <v>33</v>
      </c>
      <c r="J90" s="12">
        <v>40</v>
      </c>
      <c r="K90" s="13">
        <v>66</v>
      </c>
      <c r="L90" s="11" t="s">
        <v>90</v>
      </c>
      <c r="M90" s="13" t="s">
        <v>27</v>
      </c>
      <c r="N90" s="11" t="s">
        <v>31</v>
      </c>
      <c r="O90" s="12" t="s">
        <v>31</v>
      </c>
      <c r="P90" s="107" t="s">
        <v>31</v>
      </c>
      <c r="Q90" s="107" t="s">
        <v>31</v>
      </c>
      <c r="R90" s="13" t="s">
        <v>31</v>
      </c>
      <c r="S90" s="11" t="s">
        <v>31</v>
      </c>
      <c r="T90" s="56" t="s">
        <v>31</v>
      </c>
      <c r="U90" s="39" t="s">
        <v>31</v>
      </c>
      <c r="V90" s="37" t="s">
        <v>45</v>
      </c>
      <c r="W90" s="40">
        <v>43673</v>
      </c>
      <c r="X90" s="39" t="s">
        <v>31</v>
      </c>
    </row>
    <row r="91" spans="1:24" x14ac:dyDescent="0.25">
      <c r="A91" s="11" t="s">
        <v>213</v>
      </c>
      <c r="B91" s="12" t="s">
        <v>254</v>
      </c>
      <c r="C91" s="13">
        <v>100</v>
      </c>
      <c r="D91" s="11">
        <v>0</v>
      </c>
      <c r="E91" s="12">
        <v>0</v>
      </c>
      <c r="F91" s="13" t="s">
        <v>31</v>
      </c>
      <c r="G91" s="11">
        <v>52</v>
      </c>
      <c r="H91" s="12" t="s">
        <v>216</v>
      </c>
      <c r="I91" s="12">
        <v>33</v>
      </c>
      <c r="J91" s="12">
        <v>40</v>
      </c>
      <c r="K91" s="13">
        <v>66</v>
      </c>
      <c r="L91" s="11" t="s">
        <v>90</v>
      </c>
      <c r="M91" s="13" t="s">
        <v>27</v>
      </c>
      <c r="N91" s="11" t="s">
        <v>31</v>
      </c>
      <c r="O91" s="12" t="s">
        <v>31</v>
      </c>
      <c r="P91" s="107" t="s">
        <v>31</v>
      </c>
      <c r="Q91" s="107" t="s">
        <v>31</v>
      </c>
      <c r="R91" s="13" t="s">
        <v>31</v>
      </c>
      <c r="S91" s="11" t="s">
        <v>31</v>
      </c>
      <c r="T91" s="56" t="s">
        <v>31</v>
      </c>
      <c r="U91" s="39" t="s">
        <v>31</v>
      </c>
      <c r="V91" s="37" t="s">
        <v>45</v>
      </c>
      <c r="W91" s="40">
        <v>43673</v>
      </c>
      <c r="X91" s="39" t="s">
        <v>31</v>
      </c>
    </row>
    <row r="92" spans="1:24" x14ac:dyDescent="0.25">
      <c r="A92" s="131" t="s">
        <v>213</v>
      </c>
      <c r="B92" s="133" t="s">
        <v>255</v>
      </c>
      <c r="C92" s="135">
        <v>100</v>
      </c>
      <c r="D92" s="131">
        <v>23</v>
      </c>
      <c r="E92" s="133">
        <v>7</v>
      </c>
      <c r="F92" s="147" t="s">
        <v>256</v>
      </c>
      <c r="G92" s="131">
        <v>52</v>
      </c>
      <c r="H92" s="133" t="s">
        <v>216</v>
      </c>
      <c r="I92" s="133">
        <v>33</v>
      </c>
      <c r="J92" s="133">
        <v>40</v>
      </c>
      <c r="K92" s="135">
        <v>66</v>
      </c>
      <c r="L92" s="131" t="s">
        <v>90</v>
      </c>
      <c r="M92" s="135" t="s">
        <v>27</v>
      </c>
      <c r="N92" s="11">
        <v>59</v>
      </c>
      <c r="O92" s="12" t="s">
        <v>257</v>
      </c>
      <c r="P92" s="106" t="s">
        <v>258</v>
      </c>
      <c r="Q92" s="106" t="s">
        <v>259</v>
      </c>
      <c r="R92" s="43" t="str">
        <f>HYPERLINK("https://old.iopan.pl/projects/Adamant/Macroplastic-2019/2019-07-27_Borebukta (19).JPG","2019-07-27_Borebukta (19)")</f>
        <v>2019-07-27_Borebukta (19)</v>
      </c>
      <c r="S92" s="11">
        <v>1</v>
      </c>
      <c r="T92" s="56">
        <v>10</v>
      </c>
      <c r="U92" s="39" t="s">
        <v>31</v>
      </c>
      <c r="V92" s="37" t="s">
        <v>36</v>
      </c>
      <c r="W92" s="40">
        <v>43673</v>
      </c>
      <c r="X92" s="41">
        <v>0.74583333333333324</v>
      </c>
    </row>
    <row r="93" spans="1:24" x14ac:dyDescent="0.25">
      <c r="A93" s="131"/>
      <c r="B93" s="133"/>
      <c r="C93" s="135"/>
      <c r="D93" s="131"/>
      <c r="E93" s="133"/>
      <c r="F93" s="147"/>
      <c r="G93" s="131"/>
      <c r="H93" s="133"/>
      <c r="I93" s="133"/>
      <c r="J93" s="133"/>
      <c r="K93" s="135"/>
      <c r="L93" s="131"/>
      <c r="M93" s="135"/>
      <c r="N93" s="11">
        <v>60</v>
      </c>
      <c r="O93" s="12" t="s">
        <v>260</v>
      </c>
      <c r="P93" s="106" t="s">
        <v>261</v>
      </c>
      <c r="Q93" s="106" t="s">
        <v>262</v>
      </c>
      <c r="R93" s="43" t="str">
        <f>HYPERLINK("https://old.iopan.pl/projects/Adamant/Macroplastic-2019/2019-07-27_Borebukta (20).JPG","2019-07-27_Borebukta (20)")</f>
        <v>2019-07-27_Borebukta (20)</v>
      </c>
      <c r="S93" s="11">
        <v>1</v>
      </c>
      <c r="T93" s="56">
        <v>115</v>
      </c>
      <c r="U93" s="39" t="s">
        <v>31</v>
      </c>
      <c r="V93" s="37" t="s">
        <v>36</v>
      </c>
      <c r="W93" s="40">
        <v>43673</v>
      </c>
      <c r="X93" s="41">
        <v>0.74652777777777779</v>
      </c>
    </row>
    <row r="94" spans="1:24" x14ac:dyDescent="0.25">
      <c r="A94" s="131"/>
      <c r="B94" s="133"/>
      <c r="C94" s="135"/>
      <c r="D94" s="131"/>
      <c r="E94" s="133"/>
      <c r="F94" s="147"/>
      <c r="G94" s="131"/>
      <c r="H94" s="133"/>
      <c r="I94" s="133"/>
      <c r="J94" s="133"/>
      <c r="K94" s="135"/>
      <c r="L94" s="131"/>
      <c r="M94" s="135"/>
      <c r="N94" s="11">
        <v>61</v>
      </c>
      <c r="O94" s="12" t="s">
        <v>263</v>
      </c>
      <c r="P94" s="106" t="s">
        <v>261</v>
      </c>
      <c r="Q94" s="106" t="s">
        <v>259</v>
      </c>
      <c r="R94" s="43" t="str">
        <f>HYPERLINK("https://old.iopan.pl/projects/Adamant/Macroplastic-2019/2019-07-27_Borebukta (22).JPG","2019-07-27_Borebukta (22)")</f>
        <v>2019-07-27_Borebukta (22)</v>
      </c>
      <c r="S94" s="11">
        <v>17</v>
      </c>
      <c r="T94" s="56" t="s">
        <v>264</v>
      </c>
      <c r="U94" s="39" t="s">
        <v>265</v>
      </c>
      <c r="V94" s="37" t="s">
        <v>36</v>
      </c>
      <c r="W94" s="40">
        <v>43673</v>
      </c>
      <c r="X94" s="41">
        <v>0.74861111111111101</v>
      </c>
    </row>
    <row r="95" spans="1:24" x14ac:dyDescent="0.25">
      <c r="A95" s="131"/>
      <c r="B95" s="133"/>
      <c r="C95" s="135"/>
      <c r="D95" s="131"/>
      <c r="E95" s="133"/>
      <c r="F95" s="147"/>
      <c r="G95" s="131"/>
      <c r="H95" s="133"/>
      <c r="I95" s="133"/>
      <c r="J95" s="133"/>
      <c r="K95" s="135"/>
      <c r="L95" s="131"/>
      <c r="M95" s="135"/>
      <c r="N95" s="131">
        <v>62</v>
      </c>
      <c r="O95" s="133" t="s">
        <v>266</v>
      </c>
      <c r="P95" s="162" t="s">
        <v>267</v>
      </c>
      <c r="Q95" s="162" t="s">
        <v>262</v>
      </c>
      <c r="R95" s="43" t="str">
        <f>HYPERLINK("https://old.iopan.pl/projects/Adamant/Macroplastic-2019/2019-07-27_Borebukta (23).JPG","2019-07-27_Borebukta (23)")</f>
        <v>2019-07-27_Borebukta (23)</v>
      </c>
      <c r="S95" s="11">
        <v>1</v>
      </c>
      <c r="T95" s="56">
        <v>15</v>
      </c>
      <c r="U95" s="39" t="s">
        <v>31</v>
      </c>
      <c r="V95" s="37" t="s">
        <v>36</v>
      </c>
      <c r="W95" s="40">
        <v>43673</v>
      </c>
      <c r="X95" s="41">
        <v>0.74930555555555556</v>
      </c>
    </row>
    <row r="96" spans="1:24" x14ac:dyDescent="0.25">
      <c r="A96" s="131"/>
      <c r="B96" s="133"/>
      <c r="C96" s="135"/>
      <c r="D96" s="131"/>
      <c r="E96" s="133"/>
      <c r="F96" s="147"/>
      <c r="G96" s="131"/>
      <c r="H96" s="133"/>
      <c r="I96" s="133"/>
      <c r="J96" s="133"/>
      <c r="K96" s="135"/>
      <c r="L96" s="131"/>
      <c r="M96" s="135"/>
      <c r="N96" s="131"/>
      <c r="O96" s="133"/>
      <c r="P96" s="162"/>
      <c r="Q96" s="162"/>
      <c r="R96" s="43" t="str">
        <f>HYPERLINK("https://old.iopan.pl/projects/Adamant/Macroplastic-2019/2019-07-27_Borebukta (24).JPG","2019-07-27_Borebukta (24)")</f>
        <v>2019-07-27_Borebukta (24)</v>
      </c>
      <c r="S96" s="11">
        <v>2</v>
      </c>
      <c r="T96" s="56" t="s">
        <v>268</v>
      </c>
      <c r="U96" s="39">
        <v>89</v>
      </c>
      <c r="V96" s="37" t="s">
        <v>36</v>
      </c>
      <c r="W96" s="40">
        <v>43673</v>
      </c>
      <c r="X96" s="41">
        <v>0.75069444444444444</v>
      </c>
    </row>
    <row r="97" spans="1:24" x14ac:dyDescent="0.25">
      <c r="A97" s="131"/>
      <c r="B97" s="133"/>
      <c r="C97" s="135"/>
      <c r="D97" s="131"/>
      <c r="E97" s="133"/>
      <c r="F97" s="147"/>
      <c r="G97" s="131"/>
      <c r="H97" s="133"/>
      <c r="I97" s="133"/>
      <c r="J97" s="133"/>
      <c r="K97" s="135"/>
      <c r="L97" s="131"/>
      <c r="M97" s="135"/>
      <c r="N97" s="11">
        <v>63</v>
      </c>
      <c r="O97" s="12" t="s">
        <v>269</v>
      </c>
      <c r="P97" s="106" t="s">
        <v>270</v>
      </c>
      <c r="Q97" s="106" t="s">
        <v>262</v>
      </c>
      <c r="R97" s="43" t="str">
        <f>HYPERLINK("https://old.iopan.pl/projects/Adamant/Macroplastic-2019/2019-07-27_Borebukta (25).JPG","2019-07-27_Borebukta (25)")</f>
        <v>2019-07-27_Borebukta (25)</v>
      </c>
      <c r="S97" s="11">
        <v>1</v>
      </c>
      <c r="T97" s="56">
        <v>15</v>
      </c>
      <c r="U97" s="39" t="s">
        <v>31</v>
      </c>
      <c r="V97" s="37" t="s">
        <v>36</v>
      </c>
      <c r="W97" s="40">
        <v>43673</v>
      </c>
      <c r="X97" s="41">
        <v>0.75138888888888899</v>
      </c>
    </row>
    <row r="98" spans="1:24" x14ac:dyDescent="0.25">
      <c r="A98" s="131" t="s">
        <v>213</v>
      </c>
      <c r="B98" s="133" t="s">
        <v>271</v>
      </c>
      <c r="C98" s="135">
        <v>100</v>
      </c>
      <c r="D98" s="131">
        <v>4</v>
      </c>
      <c r="E98" s="133">
        <v>3</v>
      </c>
      <c r="F98" s="135" t="s">
        <v>272</v>
      </c>
      <c r="G98" s="131">
        <v>52</v>
      </c>
      <c r="H98" s="133" t="s">
        <v>216</v>
      </c>
      <c r="I98" s="133">
        <v>33</v>
      </c>
      <c r="J98" s="133">
        <v>40</v>
      </c>
      <c r="K98" s="135">
        <v>66</v>
      </c>
      <c r="L98" s="131" t="s">
        <v>90</v>
      </c>
      <c r="M98" s="135" t="s">
        <v>87</v>
      </c>
      <c r="N98" s="11">
        <v>64</v>
      </c>
      <c r="O98" s="12" t="s">
        <v>273</v>
      </c>
      <c r="P98" s="106" t="s">
        <v>274</v>
      </c>
      <c r="Q98" s="106" t="s">
        <v>262</v>
      </c>
      <c r="R98" s="43" t="str">
        <f>HYPERLINK("https://old.iopan.pl/projects/Adamant/Macroplastic-2019/2019-07-27_Borebukta (26).JPG","2019-07-27_Borebukta (26)")</f>
        <v>2019-07-27_Borebukta (26)</v>
      </c>
      <c r="S98" s="11">
        <v>2</v>
      </c>
      <c r="T98" s="56" t="s">
        <v>275</v>
      </c>
      <c r="U98" s="39" t="s">
        <v>31</v>
      </c>
      <c r="V98" s="37" t="s">
        <v>36</v>
      </c>
      <c r="W98" s="40">
        <v>43673</v>
      </c>
      <c r="X98" s="41">
        <v>0.75208333333333333</v>
      </c>
    </row>
    <row r="99" spans="1:24" x14ac:dyDescent="0.25">
      <c r="A99" s="131"/>
      <c r="B99" s="133"/>
      <c r="C99" s="135"/>
      <c r="D99" s="131"/>
      <c r="E99" s="133"/>
      <c r="F99" s="135"/>
      <c r="G99" s="131"/>
      <c r="H99" s="133"/>
      <c r="I99" s="133"/>
      <c r="J99" s="133"/>
      <c r="K99" s="135"/>
      <c r="L99" s="131"/>
      <c r="M99" s="135"/>
      <c r="N99" s="11">
        <v>65</v>
      </c>
      <c r="O99" s="12" t="s">
        <v>276</v>
      </c>
      <c r="P99" s="106" t="s">
        <v>277</v>
      </c>
      <c r="Q99" s="106" t="s">
        <v>278</v>
      </c>
      <c r="R99" s="43" t="str">
        <f>HYPERLINK("https://old.iopan.pl/projects/Adamant/Macroplastic-2019/2019-07-27_Borebukta (27).JPG","2019-07-27_Borebukta (27)")</f>
        <v>2019-07-27_Borebukta (27)</v>
      </c>
      <c r="S99" s="11">
        <v>2</v>
      </c>
      <c r="T99" s="56" t="s">
        <v>279</v>
      </c>
      <c r="U99" s="39" t="s">
        <v>31</v>
      </c>
      <c r="V99" s="37" t="s">
        <v>36</v>
      </c>
      <c r="W99" s="40">
        <v>43673</v>
      </c>
      <c r="X99" s="41">
        <v>0.75277777777777777</v>
      </c>
    </row>
    <row r="100" spans="1:24" x14ac:dyDescent="0.25">
      <c r="A100" s="11" t="s">
        <v>213</v>
      </c>
      <c r="B100" s="12" t="s">
        <v>280</v>
      </c>
      <c r="C100" s="13">
        <v>100</v>
      </c>
      <c r="D100" s="11">
        <v>0</v>
      </c>
      <c r="E100" s="12">
        <v>0</v>
      </c>
      <c r="F100" s="13" t="s">
        <v>31</v>
      </c>
      <c r="G100" s="11">
        <v>52</v>
      </c>
      <c r="H100" s="12" t="s">
        <v>216</v>
      </c>
      <c r="I100" s="12">
        <v>33</v>
      </c>
      <c r="J100" s="12">
        <v>40</v>
      </c>
      <c r="K100" s="13">
        <v>66</v>
      </c>
      <c r="L100" s="11" t="s">
        <v>90</v>
      </c>
      <c r="M100" s="13" t="s">
        <v>59</v>
      </c>
      <c r="N100" s="11">
        <v>66</v>
      </c>
      <c r="O100" s="12" t="s">
        <v>281</v>
      </c>
      <c r="P100" s="106" t="s">
        <v>282</v>
      </c>
      <c r="Q100" s="106" t="s">
        <v>259</v>
      </c>
      <c r="R100" s="43" t="str">
        <f>HYPERLINK("https://old.iopan.pl/projects/Adamant/Macroplastic-2019/2019-07-27_Borebukta (28).JPG","2019-07-27_Borebukta (28)")</f>
        <v>2019-07-27_Borebukta (28)</v>
      </c>
      <c r="S100" s="11">
        <v>0</v>
      </c>
      <c r="T100" s="56" t="s">
        <v>31</v>
      </c>
      <c r="U100" s="39">
        <v>56</v>
      </c>
      <c r="V100" s="37" t="s">
        <v>36</v>
      </c>
      <c r="W100" s="40">
        <v>43673</v>
      </c>
      <c r="X100" s="41">
        <v>0.75347222222222221</v>
      </c>
    </row>
    <row r="101" spans="1:24" x14ac:dyDescent="0.25">
      <c r="A101" s="131" t="s">
        <v>213</v>
      </c>
      <c r="B101" s="133" t="s">
        <v>283</v>
      </c>
      <c r="C101" s="135">
        <v>100</v>
      </c>
      <c r="D101" s="131">
        <v>8</v>
      </c>
      <c r="E101" s="133">
        <v>5</v>
      </c>
      <c r="F101" s="147" t="s">
        <v>284</v>
      </c>
      <c r="G101" s="131">
        <v>52</v>
      </c>
      <c r="H101" s="133" t="s">
        <v>216</v>
      </c>
      <c r="I101" s="133">
        <v>33</v>
      </c>
      <c r="J101" s="133">
        <v>40</v>
      </c>
      <c r="K101" s="135">
        <v>66</v>
      </c>
      <c r="L101" s="131" t="s">
        <v>90</v>
      </c>
      <c r="M101" s="135" t="s">
        <v>27</v>
      </c>
      <c r="N101" s="11">
        <v>67</v>
      </c>
      <c r="O101" s="12" t="s">
        <v>285</v>
      </c>
      <c r="P101" s="106" t="s">
        <v>286</v>
      </c>
      <c r="Q101" s="106" t="s">
        <v>287</v>
      </c>
      <c r="R101" s="43" t="str">
        <f>HYPERLINK("https://old.iopan.pl/projects/Adamant/Macroplastic-2019/2019-07-27_Borebukta (29).JPG","2019-07-27_Borebukta (29)")</f>
        <v>2019-07-27_Borebukta (29)</v>
      </c>
      <c r="S101" s="11">
        <v>1</v>
      </c>
      <c r="T101" s="56">
        <v>46</v>
      </c>
      <c r="U101" s="39" t="s">
        <v>31</v>
      </c>
      <c r="V101" s="37" t="s">
        <v>36</v>
      </c>
      <c r="W101" s="40">
        <v>43673</v>
      </c>
      <c r="X101" s="41">
        <v>0.75555555555555554</v>
      </c>
    </row>
    <row r="102" spans="1:24" x14ac:dyDescent="0.25">
      <c r="A102" s="131"/>
      <c r="B102" s="133"/>
      <c r="C102" s="135"/>
      <c r="D102" s="131"/>
      <c r="E102" s="133"/>
      <c r="F102" s="147"/>
      <c r="G102" s="131"/>
      <c r="H102" s="133"/>
      <c r="I102" s="133"/>
      <c r="J102" s="133"/>
      <c r="K102" s="135"/>
      <c r="L102" s="131"/>
      <c r="M102" s="135"/>
      <c r="N102" s="11">
        <v>68</v>
      </c>
      <c r="O102" s="12" t="s">
        <v>288</v>
      </c>
      <c r="P102" s="106" t="s">
        <v>286</v>
      </c>
      <c r="Q102" s="106" t="s">
        <v>289</v>
      </c>
      <c r="R102" s="43" t="str">
        <f>HYPERLINK("https://old.iopan.pl/projects/Adamant/Macroplastic-2019/2019-07-27_Borebukta (30).JPG","2019-07-27_Borebukta (30)")</f>
        <v>2019-07-27_Borebukta (30)</v>
      </c>
      <c r="S102" s="11">
        <v>1</v>
      </c>
      <c r="T102" s="56">
        <v>46</v>
      </c>
      <c r="U102" s="39" t="s">
        <v>31</v>
      </c>
      <c r="V102" s="37" t="s">
        <v>36</v>
      </c>
      <c r="W102" s="40">
        <v>43673</v>
      </c>
      <c r="X102" s="41">
        <v>0.75624999999999998</v>
      </c>
    </row>
    <row r="103" spans="1:24" x14ac:dyDescent="0.25">
      <c r="A103" s="131"/>
      <c r="B103" s="133"/>
      <c r="C103" s="135"/>
      <c r="D103" s="131"/>
      <c r="E103" s="133"/>
      <c r="F103" s="147"/>
      <c r="G103" s="131"/>
      <c r="H103" s="133"/>
      <c r="I103" s="133"/>
      <c r="J103" s="133"/>
      <c r="K103" s="135"/>
      <c r="L103" s="131"/>
      <c r="M103" s="135"/>
      <c r="N103" s="11">
        <v>69</v>
      </c>
      <c r="O103" s="12" t="s">
        <v>290</v>
      </c>
      <c r="P103" s="106" t="s">
        <v>291</v>
      </c>
      <c r="Q103" s="106" t="s">
        <v>292</v>
      </c>
      <c r="R103" s="43" t="str">
        <f>HYPERLINK("https://old.iopan.pl/projects/Adamant/Macroplastic-2019/2019-07-27_Borebukta (31).JPG","2019-07-27_Borebukta (31)")</f>
        <v>2019-07-27_Borebukta (31)</v>
      </c>
      <c r="S103" s="11">
        <v>1</v>
      </c>
      <c r="T103" s="56">
        <v>39</v>
      </c>
      <c r="U103" s="39" t="s">
        <v>31</v>
      </c>
      <c r="V103" s="37" t="s">
        <v>36</v>
      </c>
      <c r="W103" s="40">
        <v>43673</v>
      </c>
      <c r="X103" s="41">
        <v>0.75624999999999998</v>
      </c>
    </row>
    <row r="104" spans="1:24" x14ac:dyDescent="0.25">
      <c r="A104" s="131"/>
      <c r="B104" s="133"/>
      <c r="C104" s="135"/>
      <c r="D104" s="131"/>
      <c r="E104" s="133"/>
      <c r="F104" s="147"/>
      <c r="G104" s="131"/>
      <c r="H104" s="133"/>
      <c r="I104" s="133"/>
      <c r="J104" s="133"/>
      <c r="K104" s="135"/>
      <c r="L104" s="131"/>
      <c r="M104" s="135"/>
      <c r="N104" s="131">
        <v>70</v>
      </c>
      <c r="O104" s="133" t="s">
        <v>293</v>
      </c>
      <c r="P104" s="162" t="s">
        <v>291</v>
      </c>
      <c r="Q104" s="162" t="s">
        <v>294</v>
      </c>
      <c r="R104" s="43" t="str">
        <f>HYPERLINK("https://old.iopan.pl/projects/Adamant/Macroplastic-2019/2019-07-27_Borebukta (32).JPG","2019-07-27_Borebukta (32)")</f>
        <v>2019-07-27_Borebukta (32)</v>
      </c>
      <c r="S104" s="11">
        <v>2</v>
      </c>
      <c r="T104" s="56" t="s">
        <v>295</v>
      </c>
      <c r="U104" s="39" t="s">
        <v>31</v>
      </c>
      <c r="V104" s="37" t="s">
        <v>36</v>
      </c>
      <c r="W104" s="40">
        <v>43673</v>
      </c>
      <c r="X104" s="41">
        <v>0.75694444444444453</v>
      </c>
    </row>
    <row r="105" spans="1:24" x14ac:dyDescent="0.25">
      <c r="A105" s="131"/>
      <c r="B105" s="133"/>
      <c r="C105" s="135"/>
      <c r="D105" s="131"/>
      <c r="E105" s="133"/>
      <c r="F105" s="147"/>
      <c r="G105" s="131"/>
      <c r="H105" s="133"/>
      <c r="I105" s="133"/>
      <c r="J105" s="133"/>
      <c r="K105" s="135"/>
      <c r="L105" s="131"/>
      <c r="M105" s="135"/>
      <c r="N105" s="131"/>
      <c r="O105" s="133"/>
      <c r="P105" s="162"/>
      <c r="Q105" s="162"/>
      <c r="R105" s="43" t="str">
        <f>HYPERLINK("https://old.iopan.pl/projects/Adamant/Macroplastic-2019/2019-07-27_Borebukta (33).JPG","2019-07-27_Borebukta (33)")</f>
        <v>2019-07-27_Borebukta (33)</v>
      </c>
      <c r="S105" s="11">
        <v>1</v>
      </c>
      <c r="T105" s="56">
        <v>46</v>
      </c>
      <c r="U105" s="39" t="s">
        <v>31</v>
      </c>
      <c r="V105" s="37" t="s">
        <v>36</v>
      </c>
      <c r="W105" s="40">
        <v>43673</v>
      </c>
      <c r="X105" s="41">
        <v>0.75763888888888886</v>
      </c>
    </row>
    <row r="106" spans="1:24" x14ac:dyDescent="0.25">
      <c r="A106" s="131"/>
      <c r="B106" s="133"/>
      <c r="C106" s="135"/>
      <c r="D106" s="131"/>
      <c r="E106" s="133"/>
      <c r="F106" s="147"/>
      <c r="G106" s="131"/>
      <c r="H106" s="133"/>
      <c r="I106" s="133"/>
      <c r="J106" s="133"/>
      <c r="K106" s="135"/>
      <c r="L106" s="131"/>
      <c r="M106" s="135"/>
      <c r="N106" s="11">
        <v>71</v>
      </c>
      <c r="O106" s="12" t="s">
        <v>296</v>
      </c>
      <c r="P106" s="106" t="s">
        <v>286</v>
      </c>
      <c r="Q106" s="106" t="s">
        <v>297</v>
      </c>
      <c r="R106" s="43" t="str">
        <f>HYPERLINK("https://old.iopan.pl/projects/Adamant/Macroplastic-2019/2019-07-27_Borebukta (34).JPG","2019-07-27_Borebukta (34)")</f>
        <v>2019-07-27_Borebukta (34)</v>
      </c>
      <c r="S106" s="11">
        <v>1</v>
      </c>
      <c r="T106" s="56">
        <v>48</v>
      </c>
      <c r="U106" s="39" t="s">
        <v>31</v>
      </c>
      <c r="V106" s="37" t="s">
        <v>36</v>
      </c>
      <c r="W106" s="40">
        <v>43673</v>
      </c>
      <c r="X106" s="41">
        <v>0.75763888888888886</v>
      </c>
    </row>
    <row r="107" spans="1:24" x14ac:dyDescent="0.25">
      <c r="A107" s="131"/>
      <c r="B107" s="133"/>
      <c r="C107" s="135"/>
      <c r="D107" s="131"/>
      <c r="E107" s="133"/>
      <c r="F107" s="147"/>
      <c r="G107" s="131"/>
      <c r="H107" s="133"/>
      <c r="I107" s="133"/>
      <c r="J107" s="133"/>
      <c r="K107" s="135"/>
      <c r="L107" s="131"/>
      <c r="M107" s="135"/>
      <c r="N107" s="11">
        <v>72</v>
      </c>
      <c r="O107" s="12" t="s">
        <v>298</v>
      </c>
      <c r="P107" s="106" t="s">
        <v>291</v>
      </c>
      <c r="Q107" s="106" t="s">
        <v>297</v>
      </c>
      <c r="R107" s="43" t="str">
        <f>HYPERLINK("https://old.iopan.pl/projects/Adamant/Macroplastic-2019/2019-07-27_Borebukta (35).JPG","2019-07-27_Borebukta (35)")</f>
        <v>2019-07-27_Borebukta (35)</v>
      </c>
      <c r="S107" s="11">
        <v>1</v>
      </c>
      <c r="T107" s="56">
        <v>3</v>
      </c>
      <c r="U107" s="39" t="s">
        <v>31</v>
      </c>
      <c r="V107" s="37" t="s">
        <v>36</v>
      </c>
      <c r="W107" s="40">
        <v>43673</v>
      </c>
      <c r="X107" s="41">
        <v>0.7583333333333333</v>
      </c>
    </row>
    <row r="108" spans="1:24" x14ac:dyDescent="0.25">
      <c r="A108" s="131" t="s">
        <v>213</v>
      </c>
      <c r="B108" s="133" t="s">
        <v>299</v>
      </c>
      <c r="C108" s="135">
        <v>75</v>
      </c>
      <c r="D108" s="131">
        <v>1</v>
      </c>
      <c r="E108" s="133">
        <v>1</v>
      </c>
      <c r="F108" s="135">
        <v>4</v>
      </c>
      <c r="G108" s="131">
        <v>52</v>
      </c>
      <c r="H108" s="133" t="s">
        <v>216</v>
      </c>
      <c r="I108" s="133">
        <v>33</v>
      </c>
      <c r="J108" s="133">
        <v>40</v>
      </c>
      <c r="K108" s="135">
        <v>66</v>
      </c>
      <c r="L108" s="131" t="s">
        <v>90</v>
      </c>
      <c r="M108" s="135" t="s">
        <v>27</v>
      </c>
      <c r="N108" s="131">
        <v>73</v>
      </c>
      <c r="O108" s="133" t="s">
        <v>300</v>
      </c>
      <c r="P108" s="162" t="s">
        <v>301</v>
      </c>
      <c r="Q108" s="162" t="s">
        <v>302</v>
      </c>
      <c r="R108" s="43" t="str">
        <f>HYPERLINK("https://old.iopan.pl/projects/Adamant/Macroplastic-2019/2019-07-27_Borebukta (36).JPG","2019-07-27_Borebukta (36)")</f>
        <v>2019-07-27_Borebukta (36)</v>
      </c>
      <c r="S108" s="11">
        <v>1</v>
      </c>
      <c r="T108" s="56">
        <v>4</v>
      </c>
      <c r="U108" s="39" t="s">
        <v>31</v>
      </c>
      <c r="V108" s="37" t="s">
        <v>36</v>
      </c>
      <c r="W108" s="40">
        <v>43673</v>
      </c>
      <c r="X108" s="41">
        <v>0.76111111111111107</v>
      </c>
    </row>
    <row r="109" spans="1:24" x14ac:dyDescent="0.25">
      <c r="A109" s="124"/>
      <c r="B109" s="125"/>
      <c r="C109" s="126"/>
      <c r="D109" s="124"/>
      <c r="E109" s="125"/>
      <c r="F109" s="126"/>
      <c r="G109" s="124"/>
      <c r="H109" s="125"/>
      <c r="I109" s="125"/>
      <c r="J109" s="125"/>
      <c r="K109" s="126"/>
      <c r="L109" s="124"/>
      <c r="M109" s="126"/>
      <c r="N109" s="124"/>
      <c r="O109" s="125"/>
      <c r="P109" s="165"/>
      <c r="Q109" s="165"/>
      <c r="R109" s="57" t="str">
        <f>HYPERLINK("https://old.iopan.pl/projects/Adamant/Macroplastic-2019/2019-07-27_Borebukta (37).JPG","2019-07-27_Borebukta (37)")</f>
        <v>2019-07-27_Borebukta (37)</v>
      </c>
      <c r="S109" s="8">
        <v>0</v>
      </c>
      <c r="T109" s="58" t="s">
        <v>31</v>
      </c>
      <c r="U109" s="42">
        <v>118</v>
      </c>
      <c r="V109" s="46" t="s">
        <v>303</v>
      </c>
      <c r="W109" s="49">
        <v>43673</v>
      </c>
      <c r="X109" s="50">
        <v>0.76180555555555562</v>
      </c>
    </row>
    <row r="110" spans="1:24" x14ac:dyDescent="0.25">
      <c r="A110" s="130" t="s">
        <v>304</v>
      </c>
      <c r="B110" s="132" t="s">
        <v>305</v>
      </c>
      <c r="C110" s="134">
        <v>100</v>
      </c>
      <c r="D110" s="130">
        <v>2</v>
      </c>
      <c r="E110" s="132">
        <v>2</v>
      </c>
      <c r="F110" s="134" t="s">
        <v>162</v>
      </c>
      <c r="G110" s="130">
        <v>39</v>
      </c>
      <c r="H110" s="132" t="s">
        <v>306</v>
      </c>
      <c r="I110" s="132">
        <v>107</v>
      </c>
      <c r="J110" s="132">
        <v>76</v>
      </c>
      <c r="K110" s="148">
        <v>146</v>
      </c>
      <c r="L110" s="150" t="s">
        <v>90</v>
      </c>
      <c r="M110" s="134" t="s">
        <v>87</v>
      </c>
      <c r="N110" s="15">
        <v>74</v>
      </c>
      <c r="O110" s="16" t="s">
        <v>307</v>
      </c>
      <c r="P110" s="109" t="s">
        <v>308</v>
      </c>
      <c r="Q110" s="109" t="s">
        <v>309</v>
      </c>
      <c r="R110" s="59" t="str">
        <f>HYPERLINK("https://old.iopan.pl/projects/Adamant/Macroplastic-2019/2019-07-28_Eidembukta (1).JPG","2019-07-28_Eidembukta (1)")</f>
        <v>2019-07-28_Eidembukta (1)</v>
      </c>
      <c r="S110" s="15">
        <v>0</v>
      </c>
      <c r="T110" s="53" t="s">
        <v>31</v>
      </c>
      <c r="U110" s="51" t="s">
        <v>31</v>
      </c>
      <c r="V110" s="52" t="s">
        <v>32</v>
      </c>
      <c r="W110" s="54">
        <v>43674</v>
      </c>
      <c r="X110" s="55">
        <v>0.45833333333333331</v>
      </c>
    </row>
    <row r="111" spans="1:24" x14ac:dyDescent="0.25">
      <c r="A111" s="131"/>
      <c r="B111" s="133"/>
      <c r="C111" s="135"/>
      <c r="D111" s="131"/>
      <c r="E111" s="133"/>
      <c r="F111" s="135"/>
      <c r="G111" s="131"/>
      <c r="H111" s="133"/>
      <c r="I111" s="133"/>
      <c r="J111" s="133"/>
      <c r="K111" s="149"/>
      <c r="L111" s="144"/>
      <c r="M111" s="135"/>
      <c r="N111" s="11">
        <v>75</v>
      </c>
      <c r="O111" s="12" t="s">
        <v>310</v>
      </c>
      <c r="P111" s="106" t="s">
        <v>274</v>
      </c>
      <c r="Q111" s="106" t="s">
        <v>311</v>
      </c>
      <c r="R111" s="43" t="str">
        <f>HYPERLINK("https://old.iopan.pl/projects/Adamant/Macroplastic-2019/2019-07-28_Eidembukta (2).JPG","2019-07-28_Eidembukta (2)")</f>
        <v>2019-07-28_Eidembukta (2)</v>
      </c>
      <c r="S111" s="11">
        <v>1</v>
      </c>
      <c r="T111" s="56">
        <v>32</v>
      </c>
      <c r="U111" s="39" t="s">
        <v>31</v>
      </c>
      <c r="V111" s="37" t="s">
        <v>36</v>
      </c>
      <c r="W111" s="40">
        <v>43674</v>
      </c>
      <c r="X111" s="41">
        <v>0.46666666666666662</v>
      </c>
    </row>
    <row r="112" spans="1:24" x14ac:dyDescent="0.25">
      <c r="A112" s="131"/>
      <c r="B112" s="133"/>
      <c r="C112" s="135"/>
      <c r="D112" s="131"/>
      <c r="E112" s="133"/>
      <c r="F112" s="135"/>
      <c r="G112" s="131"/>
      <c r="H112" s="133"/>
      <c r="I112" s="133"/>
      <c r="J112" s="133"/>
      <c r="K112" s="149"/>
      <c r="L112" s="144"/>
      <c r="M112" s="135"/>
      <c r="N112" s="11">
        <v>76</v>
      </c>
      <c r="O112" s="12" t="s">
        <v>312</v>
      </c>
      <c r="P112" s="106" t="s">
        <v>277</v>
      </c>
      <c r="Q112" s="106" t="s">
        <v>311</v>
      </c>
      <c r="R112" s="43" t="str">
        <f>HYPERLINK("https://old.iopan.pl/projects/Adamant/Macroplastic-2019/2019-07-28_Eidembukta (3).JPG","2019-07-28_Eidembukta (3)")</f>
        <v>2019-07-28_Eidembukta (3)</v>
      </c>
      <c r="S112" s="11">
        <v>1</v>
      </c>
      <c r="T112" s="56">
        <v>15</v>
      </c>
      <c r="U112" s="39" t="s">
        <v>31</v>
      </c>
      <c r="V112" s="37" t="s">
        <v>36</v>
      </c>
      <c r="W112" s="40">
        <v>43674</v>
      </c>
      <c r="X112" s="41">
        <v>0.4777777777777778</v>
      </c>
    </row>
    <row r="113" spans="1:24" x14ac:dyDescent="0.25">
      <c r="A113" s="11" t="s">
        <v>304</v>
      </c>
      <c r="B113" s="12" t="s">
        <v>313</v>
      </c>
      <c r="C113" s="13">
        <v>100</v>
      </c>
      <c r="D113" s="11">
        <v>0</v>
      </c>
      <c r="E113" s="12">
        <v>0</v>
      </c>
      <c r="F113" s="13" t="s">
        <v>31</v>
      </c>
      <c r="G113" s="11">
        <v>39</v>
      </c>
      <c r="H113" s="12" t="s">
        <v>306</v>
      </c>
      <c r="I113" s="12">
        <v>107</v>
      </c>
      <c r="J113" s="12">
        <v>76</v>
      </c>
      <c r="K113" s="39">
        <v>146</v>
      </c>
      <c r="L113" s="37" t="s">
        <v>90</v>
      </c>
      <c r="M113" s="13" t="s">
        <v>87</v>
      </c>
      <c r="N113" s="11" t="s">
        <v>31</v>
      </c>
      <c r="O113" s="12" t="s">
        <v>31</v>
      </c>
      <c r="P113" s="107" t="s">
        <v>31</v>
      </c>
      <c r="Q113" s="107" t="s">
        <v>31</v>
      </c>
      <c r="R113" s="13" t="s">
        <v>31</v>
      </c>
      <c r="S113" s="11" t="s">
        <v>31</v>
      </c>
      <c r="T113" s="56" t="s">
        <v>31</v>
      </c>
      <c r="U113" s="39" t="s">
        <v>31</v>
      </c>
      <c r="V113" s="37" t="s">
        <v>45</v>
      </c>
      <c r="W113" s="40">
        <v>43674</v>
      </c>
      <c r="X113" s="39" t="s">
        <v>31</v>
      </c>
    </row>
    <row r="114" spans="1:24" x14ac:dyDescent="0.25">
      <c r="A114" s="11" t="s">
        <v>304</v>
      </c>
      <c r="B114" s="12" t="s">
        <v>314</v>
      </c>
      <c r="C114" s="13">
        <v>100</v>
      </c>
      <c r="D114" s="11">
        <v>1</v>
      </c>
      <c r="E114" s="12">
        <v>1</v>
      </c>
      <c r="F114" s="13">
        <v>46</v>
      </c>
      <c r="G114" s="11">
        <v>39</v>
      </c>
      <c r="H114" s="12" t="s">
        <v>306</v>
      </c>
      <c r="I114" s="12">
        <v>107</v>
      </c>
      <c r="J114" s="12">
        <v>76</v>
      </c>
      <c r="K114" s="39">
        <v>146</v>
      </c>
      <c r="L114" s="37" t="s">
        <v>26</v>
      </c>
      <c r="M114" s="13" t="s">
        <v>59</v>
      </c>
      <c r="N114" s="11">
        <v>77</v>
      </c>
      <c r="O114" s="12" t="s">
        <v>315</v>
      </c>
      <c r="P114" s="106" t="s">
        <v>286</v>
      </c>
      <c r="Q114" s="106" t="s">
        <v>316</v>
      </c>
      <c r="R114" s="43" t="str">
        <f>HYPERLINK("https://old.iopan.pl/projects/Adamant/Macroplastic-2019/2019-07-28_Eidembukta (4).JPG","2019-07-28_Eidembukta (4)")</f>
        <v>2019-07-28_Eidembukta (4)</v>
      </c>
      <c r="S114" s="11">
        <v>1</v>
      </c>
      <c r="T114" s="56">
        <v>46</v>
      </c>
      <c r="U114" s="39" t="s">
        <v>31</v>
      </c>
      <c r="V114" s="37" t="s">
        <v>36</v>
      </c>
      <c r="W114" s="40">
        <v>43674</v>
      </c>
      <c r="X114" s="41">
        <v>0.47916666666666669</v>
      </c>
    </row>
    <row r="115" spans="1:24" x14ac:dyDescent="0.25">
      <c r="A115" s="11" t="s">
        <v>304</v>
      </c>
      <c r="B115" s="12" t="s">
        <v>317</v>
      </c>
      <c r="C115" s="13">
        <v>100</v>
      </c>
      <c r="D115" s="11">
        <v>0</v>
      </c>
      <c r="E115" s="12">
        <v>0</v>
      </c>
      <c r="F115" s="13" t="s">
        <v>31</v>
      </c>
      <c r="G115" s="11">
        <v>39</v>
      </c>
      <c r="H115" s="12" t="s">
        <v>306</v>
      </c>
      <c r="I115" s="12">
        <v>107</v>
      </c>
      <c r="J115" s="12">
        <v>76</v>
      </c>
      <c r="K115" s="39">
        <v>146</v>
      </c>
      <c r="L115" s="37" t="s">
        <v>26</v>
      </c>
      <c r="M115" s="13" t="s">
        <v>59</v>
      </c>
      <c r="N115" s="11" t="s">
        <v>31</v>
      </c>
      <c r="O115" s="12" t="s">
        <v>31</v>
      </c>
      <c r="P115" s="107" t="s">
        <v>31</v>
      </c>
      <c r="Q115" s="107" t="s">
        <v>31</v>
      </c>
      <c r="R115" s="13" t="s">
        <v>31</v>
      </c>
      <c r="S115" s="11" t="s">
        <v>31</v>
      </c>
      <c r="T115" s="56" t="s">
        <v>31</v>
      </c>
      <c r="U115" s="39" t="s">
        <v>31</v>
      </c>
      <c r="V115" s="37" t="s">
        <v>45</v>
      </c>
      <c r="W115" s="40">
        <v>43674</v>
      </c>
      <c r="X115" s="39" t="s">
        <v>31</v>
      </c>
    </row>
    <row r="116" spans="1:24" x14ac:dyDescent="0.25">
      <c r="A116" s="11" t="s">
        <v>304</v>
      </c>
      <c r="B116" s="12" t="s">
        <v>318</v>
      </c>
      <c r="C116" s="13">
        <v>100</v>
      </c>
      <c r="D116" s="11">
        <v>0</v>
      </c>
      <c r="E116" s="12">
        <v>0</v>
      </c>
      <c r="F116" s="13" t="s">
        <v>31</v>
      </c>
      <c r="G116" s="11">
        <v>39</v>
      </c>
      <c r="H116" s="12" t="s">
        <v>306</v>
      </c>
      <c r="I116" s="12">
        <v>107</v>
      </c>
      <c r="J116" s="12">
        <v>76</v>
      </c>
      <c r="K116" s="39">
        <v>146</v>
      </c>
      <c r="L116" s="37" t="s">
        <v>90</v>
      </c>
      <c r="M116" s="13" t="s">
        <v>59</v>
      </c>
      <c r="N116" s="11" t="s">
        <v>31</v>
      </c>
      <c r="O116" s="12" t="s">
        <v>31</v>
      </c>
      <c r="P116" s="107" t="s">
        <v>31</v>
      </c>
      <c r="Q116" s="107" t="s">
        <v>31</v>
      </c>
      <c r="R116" s="13" t="s">
        <v>31</v>
      </c>
      <c r="S116" s="11" t="s">
        <v>31</v>
      </c>
      <c r="T116" s="56" t="s">
        <v>31</v>
      </c>
      <c r="U116" s="39" t="s">
        <v>31</v>
      </c>
      <c r="V116" s="37" t="s">
        <v>45</v>
      </c>
      <c r="W116" s="40">
        <v>43674</v>
      </c>
      <c r="X116" s="39" t="s">
        <v>31</v>
      </c>
    </row>
    <row r="117" spans="1:24" x14ac:dyDescent="0.25">
      <c r="A117" s="131" t="s">
        <v>304</v>
      </c>
      <c r="B117" s="133" t="s">
        <v>319</v>
      </c>
      <c r="C117" s="135">
        <v>100</v>
      </c>
      <c r="D117" s="131">
        <v>6</v>
      </c>
      <c r="E117" s="133">
        <v>5</v>
      </c>
      <c r="F117" s="147" t="s">
        <v>320</v>
      </c>
      <c r="G117" s="131">
        <v>39</v>
      </c>
      <c r="H117" s="133" t="s">
        <v>306</v>
      </c>
      <c r="I117" s="133">
        <v>107</v>
      </c>
      <c r="J117" s="133">
        <v>76</v>
      </c>
      <c r="K117" s="149">
        <v>146</v>
      </c>
      <c r="L117" s="144" t="s">
        <v>90</v>
      </c>
      <c r="M117" s="135" t="s">
        <v>59</v>
      </c>
      <c r="N117" s="11">
        <v>84</v>
      </c>
      <c r="O117" s="12" t="s">
        <v>321</v>
      </c>
      <c r="P117" s="106" t="s">
        <v>322</v>
      </c>
      <c r="Q117" s="106" t="s">
        <v>323</v>
      </c>
      <c r="R117" s="43" t="str">
        <f>HYPERLINK("https://old.iopan.pl/projects/Adamant/Macroplastic-2019/2019-07-28_Eidembukta (14).JPG","2019-07-28_Eidembukta (14)")</f>
        <v>2019-07-28_Eidembukta (14)</v>
      </c>
      <c r="S117" s="11">
        <v>1</v>
      </c>
      <c r="T117" s="56">
        <v>33</v>
      </c>
      <c r="U117" s="39" t="s">
        <v>31</v>
      </c>
      <c r="V117" s="37" t="s">
        <v>36</v>
      </c>
      <c r="W117" s="40">
        <v>43674</v>
      </c>
      <c r="X117" s="69">
        <v>0.49513888888888885</v>
      </c>
    </row>
    <row r="118" spans="1:24" x14ac:dyDescent="0.25">
      <c r="A118" s="131"/>
      <c r="B118" s="133"/>
      <c r="C118" s="135"/>
      <c r="D118" s="131"/>
      <c r="E118" s="133"/>
      <c r="F118" s="147"/>
      <c r="G118" s="131"/>
      <c r="H118" s="133"/>
      <c r="I118" s="133"/>
      <c r="J118" s="133"/>
      <c r="K118" s="149"/>
      <c r="L118" s="144"/>
      <c r="M118" s="135"/>
      <c r="N118" s="11">
        <v>85</v>
      </c>
      <c r="O118" s="12" t="s">
        <v>324</v>
      </c>
      <c r="P118" s="106" t="s">
        <v>322</v>
      </c>
      <c r="Q118" s="106" t="s">
        <v>325</v>
      </c>
      <c r="R118" s="43" t="str">
        <f>HYPERLINK("https://old.iopan.pl/projects/Adamant/Macroplastic-2019/2019-07-28_Eidembukta (15).JPG","2019-07-28_Eidembukta (15)")</f>
        <v>2019-07-28_Eidembukta (15)</v>
      </c>
      <c r="S118" s="11">
        <v>1</v>
      </c>
      <c r="T118" s="56">
        <v>44</v>
      </c>
      <c r="U118" s="39" t="s">
        <v>31</v>
      </c>
      <c r="V118" s="37" t="s">
        <v>36</v>
      </c>
      <c r="W118" s="40">
        <v>43674</v>
      </c>
      <c r="X118" s="69">
        <v>0.49513888888888885</v>
      </c>
    </row>
    <row r="119" spans="1:24" x14ac:dyDescent="0.25">
      <c r="A119" s="131"/>
      <c r="B119" s="133"/>
      <c r="C119" s="135"/>
      <c r="D119" s="131"/>
      <c r="E119" s="133"/>
      <c r="F119" s="147"/>
      <c r="G119" s="131"/>
      <c r="H119" s="133"/>
      <c r="I119" s="133"/>
      <c r="J119" s="133"/>
      <c r="K119" s="149"/>
      <c r="L119" s="144"/>
      <c r="M119" s="135"/>
      <c r="N119" s="11">
        <v>86</v>
      </c>
      <c r="O119" s="12" t="s">
        <v>326</v>
      </c>
      <c r="P119" s="106" t="s">
        <v>327</v>
      </c>
      <c r="Q119" s="106" t="s">
        <v>328</v>
      </c>
      <c r="R119" s="43" t="str">
        <f>HYPERLINK("https://old.iopan.pl/projects/Adamant/Macroplastic-2019/2019-07-28_Eidembukta (16).JPG","2019-07-28_Eidembukta (16)")</f>
        <v>2019-07-28_Eidembukta (16)</v>
      </c>
      <c r="S119" s="11">
        <v>2</v>
      </c>
      <c r="T119" s="56" t="s">
        <v>329</v>
      </c>
      <c r="U119" s="39" t="s">
        <v>31</v>
      </c>
      <c r="V119" s="37" t="s">
        <v>36</v>
      </c>
      <c r="W119" s="40">
        <v>43674</v>
      </c>
      <c r="X119" s="41">
        <v>0.49583333333333335</v>
      </c>
    </row>
    <row r="120" spans="1:24" x14ac:dyDescent="0.25">
      <c r="A120" s="131"/>
      <c r="B120" s="133"/>
      <c r="C120" s="135"/>
      <c r="D120" s="131"/>
      <c r="E120" s="133"/>
      <c r="F120" s="147"/>
      <c r="G120" s="131"/>
      <c r="H120" s="133"/>
      <c r="I120" s="133"/>
      <c r="J120" s="133"/>
      <c r="K120" s="149"/>
      <c r="L120" s="144"/>
      <c r="M120" s="135"/>
      <c r="N120" s="131">
        <v>87</v>
      </c>
      <c r="O120" s="133" t="s">
        <v>330</v>
      </c>
      <c r="P120" s="162" t="s">
        <v>327</v>
      </c>
      <c r="Q120" s="162" t="s">
        <v>331</v>
      </c>
      <c r="R120" s="43" t="str">
        <f>HYPERLINK("https://old.iopan.pl/projects/Adamant/Macroplastic-2019/2019-07-28_Eidembukta (17).JPG","2019-07-28_Eidembukta (17)")</f>
        <v>2019-07-28_Eidembukta (17)</v>
      </c>
      <c r="S120" s="11">
        <v>1</v>
      </c>
      <c r="T120" s="56">
        <v>12</v>
      </c>
      <c r="U120" s="39" t="s">
        <v>31</v>
      </c>
      <c r="V120" s="37" t="s">
        <v>36</v>
      </c>
      <c r="W120" s="40">
        <v>43674</v>
      </c>
      <c r="X120" s="41">
        <v>0.49583333333333335</v>
      </c>
    </row>
    <row r="121" spans="1:24" x14ac:dyDescent="0.25">
      <c r="A121" s="131"/>
      <c r="B121" s="133"/>
      <c r="C121" s="135"/>
      <c r="D121" s="131"/>
      <c r="E121" s="133"/>
      <c r="F121" s="147"/>
      <c r="G121" s="131"/>
      <c r="H121" s="133"/>
      <c r="I121" s="133"/>
      <c r="J121" s="133"/>
      <c r="K121" s="149"/>
      <c r="L121" s="144"/>
      <c r="M121" s="135"/>
      <c r="N121" s="131"/>
      <c r="O121" s="133"/>
      <c r="P121" s="162"/>
      <c r="Q121" s="162"/>
      <c r="R121" s="43" t="str">
        <f>HYPERLINK("https://old.iopan.pl/projects/Adamant/Macroplastic-2019/2019-07-28_Eidembukta (18).JPG","2019-07-28_Eidembukta (18)")</f>
        <v>2019-07-28_Eidembukta (18)</v>
      </c>
      <c r="S121" s="11">
        <v>1</v>
      </c>
      <c r="T121" s="56">
        <v>46</v>
      </c>
      <c r="U121" s="39" t="s">
        <v>31</v>
      </c>
      <c r="V121" s="37" t="s">
        <v>36</v>
      </c>
      <c r="W121" s="40">
        <v>43674</v>
      </c>
      <c r="X121" s="41">
        <v>0.50069444444444444</v>
      </c>
    </row>
    <row r="122" spans="1:24" x14ac:dyDescent="0.25">
      <c r="A122" s="131" t="s">
        <v>304</v>
      </c>
      <c r="B122" s="133" t="s">
        <v>332</v>
      </c>
      <c r="C122" s="135">
        <v>100</v>
      </c>
      <c r="D122" s="131">
        <v>8</v>
      </c>
      <c r="E122" s="133">
        <v>6</v>
      </c>
      <c r="F122" s="147" t="s">
        <v>333</v>
      </c>
      <c r="G122" s="131">
        <v>39</v>
      </c>
      <c r="H122" s="133" t="s">
        <v>306</v>
      </c>
      <c r="I122" s="133">
        <v>107</v>
      </c>
      <c r="J122" s="133">
        <v>76</v>
      </c>
      <c r="K122" s="149">
        <v>146</v>
      </c>
      <c r="L122" s="144" t="s">
        <v>90</v>
      </c>
      <c r="M122" s="135" t="s">
        <v>59</v>
      </c>
      <c r="N122" s="11">
        <v>78</v>
      </c>
      <c r="O122" s="12" t="s">
        <v>334</v>
      </c>
      <c r="P122" s="106" t="s">
        <v>322</v>
      </c>
      <c r="Q122" s="106" t="s">
        <v>335</v>
      </c>
      <c r="R122" s="43" t="str">
        <f>HYPERLINK("https://old.iopan.pl/projects/Adamant/Macroplastic-2019/2019-07-28_Eidembukta (5).JPG","2019-07-28_Eidembukta (5)")</f>
        <v>2019-07-28_Eidembukta (5)</v>
      </c>
      <c r="S122" s="11">
        <v>1</v>
      </c>
      <c r="T122" s="56">
        <v>46</v>
      </c>
      <c r="U122" s="39" t="s">
        <v>31</v>
      </c>
      <c r="V122" s="37" t="s">
        <v>36</v>
      </c>
      <c r="W122" s="40">
        <v>43674</v>
      </c>
      <c r="X122" s="41">
        <v>0.4916666666666667</v>
      </c>
    </row>
    <row r="123" spans="1:24" x14ac:dyDescent="0.25">
      <c r="A123" s="131"/>
      <c r="B123" s="133"/>
      <c r="C123" s="135"/>
      <c r="D123" s="131"/>
      <c r="E123" s="133"/>
      <c r="F123" s="147"/>
      <c r="G123" s="131"/>
      <c r="H123" s="133"/>
      <c r="I123" s="133"/>
      <c r="J123" s="133"/>
      <c r="K123" s="149"/>
      <c r="L123" s="144"/>
      <c r="M123" s="135"/>
      <c r="N123" s="11">
        <v>79</v>
      </c>
      <c r="O123" s="12" t="s">
        <v>336</v>
      </c>
      <c r="P123" s="106" t="s">
        <v>322</v>
      </c>
      <c r="Q123" s="106" t="s">
        <v>337</v>
      </c>
      <c r="R123" s="43" t="str">
        <f>HYPERLINK("https://old.iopan.pl/projects/Adamant/Macroplastic-2019/2019-07-28_Eidembukta (6).JPG","2019-07-28_Eidembukta (6)")</f>
        <v>2019-07-28_Eidembukta (6)</v>
      </c>
      <c r="S123" s="11">
        <v>1</v>
      </c>
      <c r="T123" s="56">
        <v>23</v>
      </c>
      <c r="U123" s="39" t="s">
        <v>31</v>
      </c>
      <c r="V123" s="37" t="s">
        <v>36</v>
      </c>
      <c r="W123" s="40">
        <v>43674</v>
      </c>
      <c r="X123" s="41">
        <v>0.4916666666666667</v>
      </c>
    </row>
    <row r="124" spans="1:24" x14ac:dyDescent="0.25">
      <c r="A124" s="131"/>
      <c r="B124" s="133"/>
      <c r="C124" s="135"/>
      <c r="D124" s="131"/>
      <c r="E124" s="133"/>
      <c r="F124" s="147"/>
      <c r="G124" s="131"/>
      <c r="H124" s="133"/>
      <c r="I124" s="133"/>
      <c r="J124" s="133"/>
      <c r="K124" s="149"/>
      <c r="L124" s="144"/>
      <c r="M124" s="135"/>
      <c r="N124" s="131">
        <v>80</v>
      </c>
      <c r="O124" s="133" t="s">
        <v>338</v>
      </c>
      <c r="P124" s="106" t="s">
        <v>291</v>
      </c>
      <c r="Q124" s="106" t="s">
        <v>323</v>
      </c>
      <c r="R124" s="43" t="str">
        <f>HYPERLINK("https://old.iopan.pl/projects/Adamant/Macroplastic-2019/2019-07-28_Eidembukta (7).JPG","2019-07-28_Eidembukta (7)")</f>
        <v>2019-07-28_Eidembukta (7)</v>
      </c>
      <c r="S124" s="11">
        <v>1</v>
      </c>
      <c r="T124" s="56">
        <v>7</v>
      </c>
      <c r="U124" s="39" t="s">
        <v>31</v>
      </c>
      <c r="V124" s="37" t="s">
        <v>36</v>
      </c>
      <c r="W124" s="40">
        <v>43674</v>
      </c>
      <c r="X124" s="41">
        <v>0.4916666666666667</v>
      </c>
    </row>
    <row r="125" spans="1:24" x14ac:dyDescent="0.25">
      <c r="A125" s="131"/>
      <c r="B125" s="133"/>
      <c r="C125" s="135"/>
      <c r="D125" s="131"/>
      <c r="E125" s="133"/>
      <c r="F125" s="147"/>
      <c r="G125" s="131"/>
      <c r="H125" s="133"/>
      <c r="I125" s="133"/>
      <c r="J125" s="133"/>
      <c r="K125" s="149"/>
      <c r="L125" s="144"/>
      <c r="M125" s="135"/>
      <c r="N125" s="131"/>
      <c r="O125" s="133"/>
      <c r="P125" s="106" t="s">
        <v>286</v>
      </c>
      <c r="Q125" s="106" t="s">
        <v>339</v>
      </c>
      <c r="R125" s="43" t="str">
        <f>HYPERLINK("https://old.iopan.pl/projects/Adamant/Macroplastic-2019/2019-07-28_Eidembukta (8).JPG","2019-07-28_Eidembukta (8)")</f>
        <v>2019-07-28_Eidembukta (8)</v>
      </c>
      <c r="S125" s="11" t="s">
        <v>189</v>
      </c>
      <c r="T125" s="56" t="s">
        <v>340</v>
      </c>
      <c r="U125" s="39" t="s">
        <v>31</v>
      </c>
      <c r="V125" s="37" t="s">
        <v>67</v>
      </c>
      <c r="W125" s="40">
        <v>43674</v>
      </c>
      <c r="X125" s="41">
        <v>0.49236111111111108</v>
      </c>
    </row>
    <row r="126" spans="1:24" x14ac:dyDescent="0.25">
      <c r="A126" s="131"/>
      <c r="B126" s="133"/>
      <c r="C126" s="135"/>
      <c r="D126" s="131"/>
      <c r="E126" s="133"/>
      <c r="F126" s="147"/>
      <c r="G126" s="131"/>
      <c r="H126" s="133"/>
      <c r="I126" s="133"/>
      <c r="J126" s="133"/>
      <c r="K126" s="149"/>
      <c r="L126" s="144"/>
      <c r="M126" s="135"/>
      <c r="N126" s="131">
        <v>81</v>
      </c>
      <c r="O126" s="133" t="s">
        <v>341</v>
      </c>
      <c r="P126" s="162" t="s">
        <v>286</v>
      </c>
      <c r="Q126" s="162" t="s">
        <v>342</v>
      </c>
      <c r="R126" s="43" t="str">
        <f>HYPERLINK("https://old.iopan.pl/projects/Adamant/Macroplastic-2019/2019-07-28_Eidembukta (9).JPG","2019-07-28_Eidembukta (9)")</f>
        <v>2019-07-28_Eidembukta (9)</v>
      </c>
      <c r="S126" s="11">
        <v>1</v>
      </c>
      <c r="T126" s="56">
        <v>15</v>
      </c>
      <c r="U126" s="39" t="s">
        <v>31</v>
      </c>
      <c r="V126" s="37" t="s">
        <v>36</v>
      </c>
      <c r="W126" s="40">
        <v>43674</v>
      </c>
      <c r="X126" s="69">
        <v>0.49374999999999997</v>
      </c>
    </row>
    <row r="127" spans="1:24" x14ac:dyDescent="0.25">
      <c r="A127" s="131"/>
      <c r="B127" s="133"/>
      <c r="C127" s="135"/>
      <c r="D127" s="131"/>
      <c r="E127" s="133"/>
      <c r="F127" s="147"/>
      <c r="G127" s="131"/>
      <c r="H127" s="133"/>
      <c r="I127" s="133"/>
      <c r="J127" s="133"/>
      <c r="K127" s="149"/>
      <c r="L127" s="144"/>
      <c r="M127" s="135"/>
      <c r="N127" s="131"/>
      <c r="O127" s="133"/>
      <c r="P127" s="162"/>
      <c r="Q127" s="162"/>
      <c r="R127" s="43" t="str">
        <f>HYPERLINK("https://old.iopan.pl/projects/Adamant/Macroplastic-2019/2019-07-28_Eidembukta (10).JPG","2019-07-28_Eidembukta (10)")</f>
        <v>2019-07-28_Eidembukta (10)</v>
      </c>
      <c r="S127" s="11">
        <v>1</v>
      </c>
      <c r="T127" s="56">
        <v>117</v>
      </c>
      <c r="U127" s="39" t="s">
        <v>31</v>
      </c>
      <c r="V127" s="37" t="s">
        <v>36</v>
      </c>
      <c r="W127" s="40">
        <v>43674</v>
      </c>
      <c r="X127" s="69">
        <v>0.49374999999999997</v>
      </c>
    </row>
    <row r="128" spans="1:24" x14ac:dyDescent="0.25">
      <c r="A128" s="131"/>
      <c r="B128" s="133"/>
      <c r="C128" s="135"/>
      <c r="D128" s="131"/>
      <c r="E128" s="133"/>
      <c r="F128" s="147"/>
      <c r="G128" s="131"/>
      <c r="H128" s="133"/>
      <c r="I128" s="133"/>
      <c r="J128" s="133"/>
      <c r="K128" s="149"/>
      <c r="L128" s="144"/>
      <c r="M128" s="135"/>
      <c r="N128" s="131">
        <v>82</v>
      </c>
      <c r="O128" s="133" t="s">
        <v>343</v>
      </c>
      <c r="P128" s="162" t="s">
        <v>322</v>
      </c>
      <c r="Q128" s="162" t="s">
        <v>339</v>
      </c>
      <c r="R128" s="43" t="str">
        <f>HYPERLINK("https://old.iopan.pl/projects/Adamant/Macroplastic-2019/2019-07-28_Eidembukta (11).JPG","2019-07-28_Eidembukta (11)")</f>
        <v>2019-07-28_Eidembukta (11)</v>
      </c>
      <c r="S128" s="11">
        <v>1</v>
      </c>
      <c r="T128" s="56">
        <v>25</v>
      </c>
      <c r="U128" s="39" t="s">
        <v>31</v>
      </c>
      <c r="V128" s="37" t="s">
        <v>36</v>
      </c>
      <c r="W128" s="40">
        <v>43674</v>
      </c>
      <c r="X128" s="41">
        <v>0.49374999999999997</v>
      </c>
    </row>
    <row r="129" spans="1:24" x14ac:dyDescent="0.25">
      <c r="A129" s="131"/>
      <c r="B129" s="133"/>
      <c r="C129" s="135"/>
      <c r="D129" s="131"/>
      <c r="E129" s="133"/>
      <c r="F129" s="147"/>
      <c r="G129" s="131"/>
      <c r="H129" s="133"/>
      <c r="I129" s="133"/>
      <c r="J129" s="133"/>
      <c r="K129" s="149"/>
      <c r="L129" s="144"/>
      <c r="M129" s="135"/>
      <c r="N129" s="131"/>
      <c r="O129" s="133"/>
      <c r="P129" s="162"/>
      <c r="Q129" s="162"/>
      <c r="R129" s="43" t="str">
        <f>HYPERLINK("https://old.iopan.pl/projects/Adamant/Macroplastic-2019/2019-07-28_Eidembukta (12).JPG","2019-07-28_Eidembukta (12)")</f>
        <v>2019-07-28_Eidembukta (12)</v>
      </c>
      <c r="S129" s="11">
        <v>1</v>
      </c>
      <c r="T129" s="56">
        <v>46</v>
      </c>
      <c r="U129" s="39" t="s">
        <v>31</v>
      </c>
      <c r="V129" s="37" t="s">
        <v>36</v>
      </c>
      <c r="W129" s="40">
        <v>43674</v>
      </c>
      <c r="X129" s="41">
        <v>0.49444444444444446</v>
      </c>
    </row>
    <row r="130" spans="1:24" x14ac:dyDescent="0.25">
      <c r="A130" s="131"/>
      <c r="B130" s="133"/>
      <c r="C130" s="135"/>
      <c r="D130" s="131"/>
      <c r="E130" s="133"/>
      <c r="F130" s="147"/>
      <c r="G130" s="131"/>
      <c r="H130" s="133"/>
      <c r="I130" s="133"/>
      <c r="J130" s="133"/>
      <c r="K130" s="149"/>
      <c r="L130" s="144"/>
      <c r="M130" s="135"/>
      <c r="N130" s="11">
        <v>83</v>
      </c>
      <c r="O130" s="12" t="s">
        <v>344</v>
      </c>
      <c r="P130" s="106" t="s">
        <v>322</v>
      </c>
      <c r="Q130" s="106" t="s">
        <v>345</v>
      </c>
      <c r="R130" s="43" t="str">
        <f>HYPERLINK("https://old.iopan.pl/projects/Adamant/Macroplastic-2019/2019-07-28_Eidembukta (13).JPG","2019-07-28_Eidembukta (13)")</f>
        <v>2019-07-28_Eidembukta (13)</v>
      </c>
      <c r="S130" s="11">
        <v>1</v>
      </c>
      <c r="T130" s="56">
        <v>46</v>
      </c>
      <c r="U130" s="39" t="s">
        <v>31</v>
      </c>
      <c r="V130" s="37" t="s">
        <v>36</v>
      </c>
      <c r="W130" s="40">
        <v>43674</v>
      </c>
      <c r="X130" s="41">
        <v>0.49444444444444446</v>
      </c>
    </row>
    <row r="131" spans="1:24" x14ac:dyDescent="0.25">
      <c r="A131" s="131" t="s">
        <v>304</v>
      </c>
      <c r="B131" s="133" t="s">
        <v>346</v>
      </c>
      <c r="C131" s="135">
        <v>100</v>
      </c>
      <c r="D131" s="131">
        <v>6</v>
      </c>
      <c r="E131" s="133">
        <v>5</v>
      </c>
      <c r="F131" s="147" t="s">
        <v>347</v>
      </c>
      <c r="G131" s="131">
        <v>39</v>
      </c>
      <c r="H131" s="133" t="s">
        <v>306</v>
      </c>
      <c r="I131" s="133">
        <v>107</v>
      </c>
      <c r="J131" s="133">
        <v>76</v>
      </c>
      <c r="K131" s="149">
        <v>146</v>
      </c>
      <c r="L131" s="144" t="s">
        <v>90</v>
      </c>
      <c r="M131" s="135" t="s">
        <v>59</v>
      </c>
      <c r="N131" s="131">
        <v>88</v>
      </c>
      <c r="O131" s="133" t="s">
        <v>348</v>
      </c>
      <c r="P131" s="162" t="s">
        <v>291</v>
      </c>
      <c r="Q131" s="162" t="s">
        <v>335</v>
      </c>
      <c r="R131" s="43" t="str">
        <f>HYPERLINK("https://old.iopan.pl/projects/Adamant/Macroplastic-2019/2019-07-28_Eidembukta (19).JPG","2019-07-28_Eidembukta (19)")</f>
        <v>2019-07-28_Eidembukta (19)</v>
      </c>
      <c r="S131" s="11">
        <v>2</v>
      </c>
      <c r="T131" s="56" t="s">
        <v>349</v>
      </c>
      <c r="U131" s="39" t="s">
        <v>31</v>
      </c>
      <c r="V131" s="37" t="s">
        <v>36</v>
      </c>
      <c r="W131" s="40">
        <v>43674</v>
      </c>
      <c r="X131" s="41">
        <v>0.50069444444444444</v>
      </c>
    </row>
    <row r="132" spans="1:24" x14ac:dyDescent="0.25">
      <c r="A132" s="131"/>
      <c r="B132" s="133"/>
      <c r="C132" s="135"/>
      <c r="D132" s="131"/>
      <c r="E132" s="133"/>
      <c r="F132" s="147"/>
      <c r="G132" s="131"/>
      <c r="H132" s="133"/>
      <c r="I132" s="133"/>
      <c r="J132" s="133"/>
      <c r="K132" s="149"/>
      <c r="L132" s="144"/>
      <c r="M132" s="135"/>
      <c r="N132" s="131"/>
      <c r="O132" s="133"/>
      <c r="P132" s="162"/>
      <c r="Q132" s="162"/>
      <c r="R132" s="43" t="str">
        <f>HYPERLINK("https://old.iopan.pl/projects/Adamant/Macroplastic-2019/2019-07-28_Eidembukta (20).JPG","2019-07-28_Eidembukta (20)")</f>
        <v>2019-07-28_Eidembukta (20)</v>
      </c>
      <c r="S132" s="11">
        <v>1</v>
      </c>
      <c r="T132" s="56">
        <v>46</v>
      </c>
      <c r="U132" s="39" t="s">
        <v>31</v>
      </c>
      <c r="V132" s="37" t="s">
        <v>36</v>
      </c>
      <c r="W132" s="40">
        <v>43674</v>
      </c>
      <c r="X132" s="41">
        <v>0.50069444444444444</v>
      </c>
    </row>
    <row r="133" spans="1:24" x14ac:dyDescent="0.25">
      <c r="A133" s="131"/>
      <c r="B133" s="133"/>
      <c r="C133" s="135"/>
      <c r="D133" s="131"/>
      <c r="E133" s="133"/>
      <c r="F133" s="147"/>
      <c r="G133" s="131"/>
      <c r="H133" s="133"/>
      <c r="I133" s="133"/>
      <c r="J133" s="133"/>
      <c r="K133" s="149"/>
      <c r="L133" s="144"/>
      <c r="M133" s="135"/>
      <c r="N133" s="131">
        <v>89</v>
      </c>
      <c r="O133" s="133" t="s">
        <v>350</v>
      </c>
      <c r="P133" s="162" t="s">
        <v>291</v>
      </c>
      <c r="Q133" s="162" t="s">
        <v>351</v>
      </c>
      <c r="R133" s="43" t="str">
        <f>HYPERLINK("https://old.iopan.pl/projects/Adamant/Macroplastic-2019/2019-07-28_Eidembukta (21).JPG","2019-07-28_Eidembukta (21)")</f>
        <v>2019-07-28_Eidembukta (21)</v>
      </c>
      <c r="S133" s="11">
        <v>1</v>
      </c>
      <c r="T133" s="56">
        <v>10</v>
      </c>
      <c r="U133" s="39" t="s">
        <v>31</v>
      </c>
      <c r="V133" s="37" t="s">
        <v>36</v>
      </c>
      <c r="W133" s="40">
        <v>43674</v>
      </c>
      <c r="X133" s="41">
        <v>0.50208333333333333</v>
      </c>
    </row>
    <row r="134" spans="1:24" x14ac:dyDescent="0.25">
      <c r="A134" s="131"/>
      <c r="B134" s="133"/>
      <c r="C134" s="135"/>
      <c r="D134" s="131"/>
      <c r="E134" s="133"/>
      <c r="F134" s="147"/>
      <c r="G134" s="131"/>
      <c r="H134" s="133"/>
      <c r="I134" s="133"/>
      <c r="J134" s="133"/>
      <c r="K134" s="149"/>
      <c r="L134" s="144"/>
      <c r="M134" s="135"/>
      <c r="N134" s="131"/>
      <c r="O134" s="133"/>
      <c r="P134" s="162"/>
      <c r="Q134" s="162"/>
      <c r="R134" s="43" t="str">
        <f>HYPERLINK("https://old.iopan.pl/projects/Adamant/Macroplastic-2019/2019-07-28_Eidembukta (22).JPG","2019-07-28_Eidembukta (22)")</f>
        <v>2019-07-28_Eidembukta (22)</v>
      </c>
      <c r="S134" s="11">
        <v>1</v>
      </c>
      <c r="T134" s="56">
        <v>46</v>
      </c>
      <c r="U134" s="39" t="s">
        <v>31</v>
      </c>
      <c r="V134" s="37" t="s">
        <v>36</v>
      </c>
      <c r="W134" s="40">
        <v>43674</v>
      </c>
      <c r="X134" s="41">
        <v>0.50208333333333333</v>
      </c>
    </row>
    <row r="135" spans="1:24" x14ac:dyDescent="0.25">
      <c r="A135" s="131"/>
      <c r="B135" s="133"/>
      <c r="C135" s="135"/>
      <c r="D135" s="131"/>
      <c r="E135" s="133"/>
      <c r="F135" s="147"/>
      <c r="G135" s="131"/>
      <c r="H135" s="133"/>
      <c r="I135" s="133"/>
      <c r="J135" s="133"/>
      <c r="K135" s="149"/>
      <c r="L135" s="144"/>
      <c r="M135" s="135"/>
      <c r="N135" s="11">
        <v>90</v>
      </c>
      <c r="O135" s="12" t="s">
        <v>352</v>
      </c>
      <c r="P135" s="106" t="s">
        <v>291</v>
      </c>
      <c r="Q135" s="106" t="s">
        <v>353</v>
      </c>
      <c r="R135" s="43" t="str">
        <f>HYPERLINK("https://old.iopan.pl/projects/Adamant/Macroplastic-2019/2019-07-28_Eidembukta (23).JPG","2019-07-28_Eidembukta (23)")</f>
        <v>2019-07-28_Eidembukta (23)</v>
      </c>
      <c r="S135" s="11">
        <v>0</v>
      </c>
      <c r="T135" s="56" t="s">
        <v>31</v>
      </c>
      <c r="U135" s="39">
        <v>91</v>
      </c>
      <c r="V135" s="37" t="s">
        <v>36</v>
      </c>
      <c r="W135" s="40">
        <v>43674</v>
      </c>
      <c r="X135" s="41">
        <v>0.50208333333333333</v>
      </c>
    </row>
    <row r="136" spans="1:24" x14ac:dyDescent="0.25">
      <c r="A136" s="131"/>
      <c r="B136" s="133"/>
      <c r="C136" s="135"/>
      <c r="D136" s="131"/>
      <c r="E136" s="133"/>
      <c r="F136" s="147"/>
      <c r="G136" s="131"/>
      <c r="H136" s="133"/>
      <c r="I136" s="133"/>
      <c r="J136" s="133"/>
      <c r="K136" s="149"/>
      <c r="L136" s="144"/>
      <c r="M136" s="135"/>
      <c r="N136" s="11">
        <v>91</v>
      </c>
      <c r="O136" s="12" t="s">
        <v>354</v>
      </c>
      <c r="P136" s="106" t="s">
        <v>291</v>
      </c>
      <c r="Q136" s="106" t="s">
        <v>355</v>
      </c>
      <c r="R136" s="43" t="str">
        <f>HYPERLINK("https://old.iopan.pl/projects/Adamant/Macroplastic-2019/2019-07-28_Eidembukta (24).JPG","2019-07-28_Eidembukta (24)")</f>
        <v>2019-07-28_Eidembukta (24)</v>
      </c>
      <c r="S136" s="11">
        <v>0</v>
      </c>
      <c r="T136" s="56" t="s">
        <v>31</v>
      </c>
      <c r="U136" s="39">
        <v>89</v>
      </c>
      <c r="V136" s="37" t="s">
        <v>36</v>
      </c>
      <c r="W136" s="40">
        <v>43674</v>
      </c>
      <c r="X136" s="41">
        <v>0.50277777777777777</v>
      </c>
    </row>
    <row r="137" spans="1:24" x14ac:dyDescent="0.25">
      <c r="A137" s="131"/>
      <c r="B137" s="133"/>
      <c r="C137" s="135"/>
      <c r="D137" s="131"/>
      <c r="E137" s="133"/>
      <c r="F137" s="147"/>
      <c r="G137" s="124"/>
      <c r="H137" s="133"/>
      <c r="I137" s="133"/>
      <c r="J137" s="133"/>
      <c r="K137" s="149"/>
      <c r="L137" s="144"/>
      <c r="M137" s="126"/>
      <c r="N137" s="11">
        <v>92</v>
      </c>
      <c r="O137" s="12" t="s">
        <v>356</v>
      </c>
      <c r="P137" s="106" t="s">
        <v>291</v>
      </c>
      <c r="Q137" s="106" t="s">
        <v>357</v>
      </c>
      <c r="R137" s="43" t="str">
        <f>HYPERLINK("https://old.iopan.pl/projects/Adamant/Macroplastic-2019/2019-07-28_Eidembukta (25).JPG","2019-07-28_Eidembukta (25)")</f>
        <v>2019-07-28_Eidembukta (25)</v>
      </c>
      <c r="S137" s="11">
        <v>1</v>
      </c>
      <c r="T137" s="56">
        <v>3</v>
      </c>
      <c r="U137" s="39" t="s">
        <v>31</v>
      </c>
      <c r="V137" s="37" t="s">
        <v>36</v>
      </c>
      <c r="W137" s="40">
        <v>43674</v>
      </c>
      <c r="X137" s="41">
        <v>0.50416666666666665</v>
      </c>
    </row>
    <row r="138" spans="1:24" x14ac:dyDescent="0.25">
      <c r="A138" s="131" t="s">
        <v>304</v>
      </c>
      <c r="B138" s="133" t="s">
        <v>358</v>
      </c>
      <c r="C138" s="135">
        <v>100</v>
      </c>
      <c r="D138" s="131">
        <v>5</v>
      </c>
      <c r="E138" s="133">
        <v>5</v>
      </c>
      <c r="F138" s="147" t="s">
        <v>359</v>
      </c>
      <c r="G138" s="131">
        <v>39</v>
      </c>
      <c r="H138" s="144" t="s">
        <v>306</v>
      </c>
      <c r="I138" s="133">
        <v>107</v>
      </c>
      <c r="J138" s="133">
        <v>76</v>
      </c>
      <c r="K138" s="149">
        <v>146</v>
      </c>
      <c r="L138" s="166" t="s">
        <v>90</v>
      </c>
      <c r="M138" s="135" t="s">
        <v>59</v>
      </c>
      <c r="N138" s="11">
        <v>93</v>
      </c>
      <c r="O138" s="12" t="s">
        <v>360</v>
      </c>
      <c r="P138" s="106" t="s">
        <v>361</v>
      </c>
      <c r="Q138" s="106" t="s">
        <v>362</v>
      </c>
      <c r="R138" s="43" t="str">
        <f>HYPERLINK("https://old.iopan.pl/projects/Adamant/Macroplastic-2019/2019-07-28_Eidembukta (26).JPG","2019-07-28_Eidembukta (26)")</f>
        <v>2019-07-28_Eidembukta (26)</v>
      </c>
      <c r="S138" s="11">
        <v>1</v>
      </c>
      <c r="T138" s="56">
        <v>32</v>
      </c>
      <c r="U138" s="39" t="s">
        <v>31</v>
      </c>
      <c r="V138" s="37" t="s">
        <v>36</v>
      </c>
      <c r="W138" s="40">
        <v>43674</v>
      </c>
      <c r="X138" s="41">
        <v>0.50486111111111109</v>
      </c>
    </row>
    <row r="139" spans="1:24" x14ac:dyDescent="0.25">
      <c r="A139" s="131"/>
      <c r="B139" s="133"/>
      <c r="C139" s="135"/>
      <c r="D139" s="131"/>
      <c r="E139" s="133"/>
      <c r="F139" s="147"/>
      <c r="G139" s="131"/>
      <c r="H139" s="144"/>
      <c r="I139" s="133"/>
      <c r="J139" s="133"/>
      <c r="K139" s="149"/>
      <c r="L139" s="166"/>
      <c r="M139" s="135"/>
      <c r="N139" s="11">
        <v>94</v>
      </c>
      <c r="O139" s="12" t="s">
        <v>363</v>
      </c>
      <c r="P139" s="106" t="s">
        <v>364</v>
      </c>
      <c r="Q139" s="106" t="s">
        <v>365</v>
      </c>
      <c r="R139" s="43" t="str">
        <f>HYPERLINK("https://old.iopan.pl/projects/Adamant/Macroplastic-2019/2019-07-28_Eidembukta (27).JPG","2019-07-28_Eidembukta (27)")</f>
        <v>2019-07-28_Eidembukta (27)</v>
      </c>
      <c r="S139" s="11">
        <v>1</v>
      </c>
      <c r="T139" s="56">
        <v>46</v>
      </c>
      <c r="U139" s="39" t="s">
        <v>31</v>
      </c>
      <c r="V139" s="37" t="s">
        <v>36</v>
      </c>
      <c r="W139" s="40">
        <v>43674</v>
      </c>
      <c r="X139" s="41">
        <v>0.50555555555555554</v>
      </c>
    </row>
    <row r="140" spans="1:24" x14ac:dyDescent="0.25">
      <c r="A140" s="131"/>
      <c r="B140" s="133"/>
      <c r="C140" s="135"/>
      <c r="D140" s="131"/>
      <c r="E140" s="133"/>
      <c r="F140" s="147"/>
      <c r="G140" s="131"/>
      <c r="H140" s="144"/>
      <c r="I140" s="133"/>
      <c r="J140" s="133"/>
      <c r="K140" s="149"/>
      <c r="L140" s="166"/>
      <c r="M140" s="135"/>
      <c r="N140" s="11">
        <v>95</v>
      </c>
      <c r="O140" s="12" t="s">
        <v>366</v>
      </c>
      <c r="P140" s="106" t="s">
        <v>301</v>
      </c>
      <c r="Q140" s="106" t="s">
        <v>367</v>
      </c>
      <c r="R140" s="43" t="str">
        <f>HYPERLINK("https://old.iopan.pl/projects/Adamant/Macroplastic-2019/2019-07-28_Eidembukta (28).JPG","2019-07-28_Eidembukta (28)")</f>
        <v>2019-07-28_Eidembukta (28)</v>
      </c>
      <c r="S140" s="11">
        <v>2</v>
      </c>
      <c r="T140" s="56" t="s">
        <v>368</v>
      </c>
      <c r="U140" s="39">
        <v>78</v>
      </c>
      <c r="V140" s="37" t="s">
        <v>36</v>
      </c>
      <c r="W140" s="40">
        <v>43674</v>
      </c>
      <c r="X140" s="41">
        <v>0.50555555555555554</v>
      </c>
    </row>
    <row r="141" spans="1:24" x14ac:dyDescent="0.25">
      <c r="A141" s="131"/>
      <c r="B141" s="133"/>
      <c r="C141" s="135"/>
      <c r="D141" s="131"/>
      <c r="E141" s="133"/>
      <c r="F141" s="147"/>
      <c r="G141" s="131"/>
      <c r="H141" s="144"/>
      <c r="I141" s="133"/>
      <c r="J141" s="133"/>
      <c r="K141" s="149"/>
      <c r="L141" s="166"/>
      <c r="M141" s="135"/>
      <c r="N141" s="131">
        <v>96</v>
      </c>
      <c r="O141" s="133" t="s">
        <v>369</v>
      </c>
      <c r="P141" s="162" t="s">
        <v>301</v>
      </c>
      <c r="Q141" s="162" t="s">
        <v>370</v>
      </c>
      <c r="R141" s="43" t="str">
        <f>HYPERLINK("https://old.iopan.pl/projects/Adamant/Macroplastic-2019/2019-07-28_Eidembukta (29).JPG","2019-07-28_Eidembukta (29)")</f>
        <v>2019-07-28_Eidembukta (29)</v>
      </c>
      <c r="S141" s="11">
        <v>1</v>
      </c>
      <c r="T141" s="56">
        <v>43</v>
      </c>
      <c r="U141" s="39" t="s">
        <v>31</v>
      </c>
      <c r="V141" s="37" t="s">
        <v>36</v>
      </c>
      <c r="W141" s="40">
        <v>43674</v>
      </c>
      <c r="X141" s="41">
        <v>0.50555555555555554</v>
      </c>
    </row>
    <row r="142" spans="1:24" x14ac:dyDescent="0.25">
      <c r="A142" s="131"/>
      <c r="B142" s="133"/>
      <c r="C142" s="135"/>
      <c r="D142" s="131"/>
      <c r="E142" s="133"/>
      <c r="F142" s="147"/>
      <c r="G142" s="131"/>
      <c r="H142" s="144"/>
      <c r="I142" s="133"/>
      <c r="J142" s="133"/>
      <c r="K142" s="149"/>
      <c r="L142" s="166"/>
      <c r="M142" s="135"/>
      <c r="N142" s="131"/>
      <c r="O142" s="133"/>
      <c r="P142" s="162"/>
      <c r="Q142" s="162"/>
      <c r="R142" s="43" t="str">
        <f>HYPERLINK("https://old.iopan.pl/projects/Adamant/Macroplastic-2019/2019-07-28_Eidembukta (30).JPG","2019-07-28_Eidembukta (30)")</f>
        <v>2019-07-28_Eidembukta (30)</v>
      </c>
      <c r="S142" s="11">
        <v>0</v>
      </c>
      <c r="T142" s="56" t="s">
        <v>31</v>
      </c>
      <c r="U142" s="39">
        <v>76</v>
      </c>
      <c r="V142" s="37" t="s">
        <v>36</v>
      </c>
      <c r="W142" s="40">
        <v>43674</v>
      </c>
      <c r="X142" s="41">
        <v>0.50624999999999998</v>
      </c>
    </row>
    <row r="143" spans="1:24" x14ac:dyDescent="0.25">
      <c r="A143" s="131" t="s">
        <v>304</v>
      </c>
      <c r="B143" s="133" t="s">
        <v>371</v>
      </c>
      <c r="C143" s="135">
        <v>100</v>
      </c>
      <c r="D143" s="131">
        <v>1</v>
      </c>
      <c r="E143" s="133">
        <v>1</v>
      </c>
      <c r="F143" s="135">
        <v>46</v>
      </c>
      <c r="G143" s="119">
        <v>39</v>
      </c>
      <c r="H143" s="133" t="s">
        <v>306</v>
      </c>
      <c r="I143" s="133">
        <v>107</v>
      </c>
      <c r="J143" s="133">
        <v>76</v>
      </c>
      <c r="K143" s="149">
        <v>146</v>
      </c>
      <c r="L143" s="144" t="s">
        <v>90</v>
      </c>
      <c r="M143" s="123" t="s">
        <v>59</v>
      </c>
      <c r="N143" s="11">
        <v>97</v>
      </c>
      <c r="O143" s="12" t="s">
        <v>372</v>
      </c>
      <c r="P143" s="106" t="s">
        <v>373</v>
      </c>
      <c r="Q143" s="106" t="s">
        <v>374</v>
      </c>
      <c r="R143" s="43" t="str">
        <f>HYPERLINK("https://old.iopan.pl/projects/Adamant/Macroplastic-2019/2019-07-28_Eidembukta (31).JPG","2019-07-28_Eidembukta (31)")</f>
        <v>2019-07-28_Eidembukta (31)</v>
      </c>
      <c r="S143" s="11">
        <v>1</v>
      </c>
      <c r="T143" s="56">
        <v>46</v>
      </c>
      <c r="U143" s="39" t="s">
        <v>31</v>
      </c>
      <c r="V143" s="37" t="s">
        <v>36</v>
      </c>
      <c r="W143" s="40">
        <v>43674</v>
      </c>
      <c r="X143" s="41">
        <v>0.50694444444444442</v>
      </c>
    </row>
    <row r="144" spans="1:24" x14ac:dyDescent="0.25">
      <c r="A144" s="131"/>
      <c r="B144" s="133"/>
      <c r="C144" s="135"/>
      <c r="D144" s="131"/>
      <c r="E144" s="133"/>
      <c r="F144" s="135"/>
      <c r="G144" s="131"/>
      <c r="H144" s="133"/>
      <c r="I144" s="133"/>
      <c r="J144" s="133"/>
      <c r="K144" s="149"/>
      <c r="L144" s="144"/>
      <c r="M144" s="135"/>
      <c r="N144" s="11">
        <v>98</v>
      </c>
      <c r="O144" s="12" t="s">
        <v>375</v>
      </c>
      <c r="P144" s="106" t="s">
        <v>373</v>
      </c>
      <c r="Q144" s="106" t="s">
        <v>376</v>
      </c>
      <c r="R144" s="43" t="str">
        <f>HYPERLINK("https://old.iopan.pl/projects/Adamant/Macroplastic-2019/2019-07-28_Eidembukta (32).JPG","2019-07-28_Eidembukta (32)")</f>
        <v>2019-07-28_Eidembukta (32)</v>
      </c>
      <c r="S144" s="11">
        <v>0</v>
      </c>
      <c r="T144" s="56" t="s">
        <v>31</v>
      </c>
      <c r="U144" s="39">
        <v>91</v>
      </c>
      <c r="V144" s="37" t="s">
        <v>36</v>
      </c>
      <c r="W144" s="40">
        <v>43674</v>
      </c>
      <c r="X144" s="41">
        <v>0.50763888888888886</v>
      </c>
    </row>
    <row r="145" spans="1:24" x14ac:dyDescent="0.25">
      <c r="A145" s="131"/>
      <c r="B145" s="133"/>
      <c r="C145" s="135"/>
      <c r="D145" s="131"/>
      <c r="E145" s="133"/>
      <c r="F145" s="135"/>
      <c r="G145" s="131"/>
      <c r="H145" s="133"/>
      <c r="I145" s="133"/>
      <c r="J145" s="133"/>
      <c r="K145" s="149"/>
      <c r="L145" s="144"/>
      <c r="M145" s="135"/>
      <c r="N145" s="11">
        <v>99</v>
      </c>
      <c r="O145" s="12" t="s">
        <v>377</v>
      </c>
      <c r="P145" s="106" t="s">
        <v>373</v>
      </c>
      <c r="Q145" s="106" t="s">
        <v>365</v>
      </c>
      <c r="R145" s="43" t="str">
        <f>HYPERLINK("https://old.iopan.pl/projects/Adamant/Macroplastic-2019/2019-07-28_Eidembukta (33).JPG","2019-07-28_Eidembukta (33)")</f>
        <v>2019-07-28_Eidembukta (33)</v>
      </c>
      <c r="S145" s="11">
        <v>0</v>
      </c>
      <c r="T145" s="56" t="s">
        <v>31</v>
      </c>
      <c r="U145" s="39">
        <v>91</v>
      </c>
      <c r="V145" s="37" t="s">
        <v>36</v>
      </c>
      <c r="W145" s="40">
        <v>43674</v>
      </c>
      <c r="X145" s="41">
        <v>0.50972222222222219</v>
      </c>
    </row>
    <row r="146" spans="1:24" x14ac:dyDescent="0.25">
      <c r="A146" s="131" t="s">
        <v>304</v>
      </c>
      <c r="B146" s="133" t="s">
        <v>378</v>
      </c>
      <c r="C146" s="135">
        <v>100</v>
      </c>
      <c r="D146" s="131">
        <v>20</v>
      </c>
      <c r="E146" s="133">
        <v>10</v>
      </c>
      <c r="F146" s="147" t="s">
        <v>379</v>
      </c>
      <c r="G146" s="131">
        <v>39</v>
      </c>
      <c r="H146" s="133" t="s">
        <v>306</v>
      </c>
      <c r="I146" s="133">
        <v>107</v>
      </c>
      <c r="J146" s="133">
        <v>76</v>
      </c>
      <c r="K146" s="149">
        <v>146</v>
      </c>
      <c r="L146" s="144" t="s">
        <v>90</v>
      </c>
      <c r="M146" s="135" t="s">
        <v>59</v>
      </c>
      <c r="N146" s="11">
        <v>100</v>
      </c>
      <c r="O146" s="12" t="s">
        <v>380</v>
      </c>
      <c r="P146" s="106" t="s">
        <v>373</v>
      </c>
      <c r="Q146" s="106" t="s">
        <v>381</v>
      </c>
      <c r="R146" s="43" t="str">
        <f>HYPERLINK("https://old.iopan.pl/projects/Adamant/Macroplastic-2019/2019-07-28_Eidembukta (34).JPG","2019-07-28_Eidembukta (34)")</f>
        <v>2019-07-28_Eidembukta (34)</v>
      </c>
      <c r="S146" s="11">
        <v>2</v>
      </c>
      <c r="T146" s="56" t="s">
        <v>382</v>
      </c>
      <c r="U146" s="39" t="s">
        <v>383</v>
      </c>
      <c r="V146" s="37" t="s">
        <v>36</v>
      </c>
      <c r="W146" s="40">
        <v>43674</v>
      </c>
      <c r="X146" s="41">
        <v>0.51111111111111118</v>
      </c>
    </row>
    <row r="147" spans="1:24" x14ac:dyDescent="0.25">
      <c r="A147" s="131"/>
      <c r="B147" s="133"/>
      <c r="C147" s="135"/>
      <c r="D147" s="131"/>
      <c r="E147" s="133"/>
      <c r="F147" s="147"/>
      <c r="G147" s="131"/>
      <c r="H147" s="133"/>
      <c r="I147" s="133"/>
      <c r="J147" s="133"/>
      <c r="K147" s="149"/>
      <c r="L147" s="144"/>
      <c r="M147" s="135"/>
      <c r="N147" s="11">
        <v>101</v>
      </c>
      <c r="O147" s="12" t="s">
        <v>384</v>
      </c>
      <c r="P147" s="106" t="s">
        <v>373</v>
      </c>
      <c r="Q147" s="106" t="s">
        <v>385</v>
      </c>
      <c r="R147" s="43" t="str">
        <f>HYPERLINK("https://old.iopan.pl/projects/Adamant/Macroplastic-2019/2019-07-28_Eidembukta (35).JPG","2019-07-28_Eidembukta (35)")</f>
        <v>2019-07-28_Eidembukta (35)</v>
      </c>
      <c r="S147" s="11">
        <v>1</v>
      </c>
      <c r="T147" s="56">
        <v>15</v>
      </c>
      <c r="U147" s="39">
        <v>59</v>
      </c>
      <c r="V147" s="37" t="s">
        <v>36</v>
      </c>
      <c r="W147" s="40">
        <v>43674</v>
      </c>
      <c r="X147" s="41">
        <v>0.51111111111111118</v>
      </c>
    </row>
    <row r="148" spans="1:24" x14ac:dyDescent="0.25">
      <c r="A148" s="131"/>
      <c r="B148" s="133"/>
      <c r="C148" s="135"/>
      <c r="D148" s="131"/>
      <c r="E148" s="133"/>
      <c r="F148" s="147"/>
      <c r="G148" s="131"/>
      <c r="H148" s="133"/>
      <c r="I148" s="133"/>
      <c r="J148" s="133"/>
      <c r="K148" s="149"/>
      <c r="L148" s="144"/>
      <c r="M148" s="135"/>
      <c r="N148" s="11">
        <v>102</v>
      </c>
      <c r="O148" s="12" t="s">
        <v>386</v>
      </c>
      <c r="P148" s="106" t="s">
        <v>387</v>
      </c>
      <c r="Q148" s="106" t="s">
        <v>388</v>
      </c>
      <c r="R148" s="43" t="str">
        <f>HYPERLINK("https://old.iopan.pl/projects/Adamant/Macroplastic-2019/2019-07-28_Eidembukta (36).JPG","2019-07-28_Eidembukta (36)")</f>
        <v>2019-07-28_Eidembukta (36)</v>
      </c>
      <c r="S148" s="11">
        <v>2</v>
      </c>
      <c r="T148" s="56" t="s">
        <v>38</v>
      </c>
      <c r="U148" s="39" t="s">
        <v>31</v>
      </c>
      <c r="V148" s="37" t="s">
        <v>36</v>
      </c>
      <c r="W148" s="40">
        <v>43674</v>
      </c>
      <c r="X148" s="41">
        <v>0.5131944444444444</v>
      </c>
    </row>
    <row r="149" spans="1:24" x14ac:dyDescent="0.25">
      <c r="A149" s="131"/>
      <c r="B149" s="133"/>
      <c r="C149" s="135"/>
      <c r="D149" s="131"/>
      <c r="E149" s="133"/>
      <c r="F149" s="147"/>
      <c r="G149" s="131"/>
      <c r="H149" s="133"/>
      <c r="I149" s="133"/>
      <c r="J149" s="133"/>
      <c r="K149" s="149"/>
      <c r="L149" s="144"/>
      <c r="M149" s="135"/>
      <c r="N149" s="11">
        <v>104</v>
      </c>
      <c r="O149" s="12" t="s">
        <v>389</v>
      </c>
      <c r="P149" s="106" t="s">
        <v>373</v>
      </c>
      <c r="Q149" s="106" t="s">
        <v>390</v>
      </c>
      <c r="R149" s="43" t="str">
        <f>HYPERLINK("https://old.iopan.pl/projects/Adamant/Macroplastic-2019/2019-07-28_Eidembukta (38).JPG","2019-07-28_Eidembukta (38)")</f>
        <v>2019-07-28_Eidembukta (38)</v>
      </c>
      <c r="S149" s="11">
        <v>15</v>
      </c>
      <c r="T149" s="56" t="s">
        <v>391</v>
      </c>
      <c r="U149" s="39" t="s">
        <v>31</v>
      </c>
      <c r="V149" s="37" t="s">
        <v>36</v>
      </c>
      <c r="W149" s="40">
        <v>43674</v>
      </c>
      <c r="X149" s="41">
        <v>0.51527777777777783</v>
      </c>
    </row>
    <row r="150" spans="1:24" x14ac:dyDescent="0.25">
      <c r="A150" s="131" t="s">
        <v>304</v>
      </c>
      <c r="B150" s="133" t="s">
        <v>392</v>
      </c>
      <c r="C150" s="135">
        <v>100</v>
      </c>
      <c r="D150" s="131">
        <v>7</v>
      </c>
      <c r="E150" s="133">
        <v>3</v>
      </c>
      <c r="F150" s="147" t="s">
        <v>393</v>
      </c>
      <c r="G150" s="131">
        <v>39</v>
      </c>
      <c r="H150" s="133" t="s">
        <v>306</v>
      </c>
      <c r="I150" s="133">
        <v>107</v>
      </c>
      <c r="J150" s="133">
        <v>76</v>
      </c>
      <c r="K150" s="149">
        <v>146</v>
      </c>
      <c r="L150" s="144" t="s">
        <v>90</v>
      </c>
      <c r="M150" s="135" t="s">
        <v>59</v>
      </c>
      <c r="N150" s="11">
        <v>103</v>
      </c>
      <c r="O150" s="12" t="s">
        <v>394</v>
      </c>
      <c r="P150" s="106" t="s">
        <v>387</v>
      </c>
      <c r="Q150" s="106" t="s">
        <v>395</v>
      </c>
      <c r="R150" s="43" t="str">
        <f>HYPERLINK("https://old.iopan.pl/projects/Adamant/Macroplastic-2019/2019-07-28_Eidembukta (37).JPG","2019-07-28_Eidembukta (37)")</f>
        <v>2019-07-28_Eidembukta (37)</v>
      </c>
      <c r="S150" s="11">
        <v>1</v>
      </c>
      <c r="T150" s="56">
        <v>46</v>
      </c>
      <c r="U150" s="39" t="s">
        <v>31</v>
      </c>
      <c r="V150" s="37" t="s">
        <v>36</v>
      </c>
      <c r="W150" s="40">
        <v>43674</v>
      </c>
      <c r="X150" s="41">
        <v>0.5131944444444444</v>
      </c>
    </row>
    <row r="151" spans="1:24" x14ac:dyDescent="0.25">
      <c r="A151" s="131"/>
      <c r="B151" s="133"/>
      <c r="C151" s="135"/>
      <c r="D151" s="131"/>
      <c r="E151" s="133"/>
      <c r="F151" s="147"/>
      <c r="G151" s="131"/>
      <c r="H151" s="133"/>
      <c r="I151" s="133"/>
      <c r="J151" s="133"/>
      <c r="K151" s="149"/>
      <c r="L151" s="144"/>
      <c r="M151" s="135"/>
      <c r="N151" s="11">
        <v>105</v>
      </c>
      <c r="O151" s="12" t="s">
        <v>396</v>
      </c>
      <c r="P151" s="106" t="s">
        <v>387</v>
      </c>
      <c r="Q151" s="106" t="s">
        <v>397</v>
      </c>
      <c r="R151" s="43" t="str">
        <f>HYPERLINK("https://old.iopan.pl/projects/Adamant/Macroplastic-2019/2019-07-28_Eidembukta (39).JPG","2019-07-28_Eidembukta (39)")</f>
        <v>2019-07-28_Eidembukta (39)</v>
      </c>
      <c r="S151" s="11">
        <v>2</v>
      </c>
      <c r="T151" s="56" t="s">
        <v>398</v>
      </c>
      <c r="U151" s="39" t="s">
        <v>399</v>
      </c>
      <c r="V151" s="37" t="s">
        <v>36</v>
      </c>
      <c r="W151" s="40">
        <v>43674</v>
      </c>
      <c r="X151" s="41">
        <v>0.51736111111111105</v>
      </c>
    </row>
    <row r="152" spans="1:24" x14ac:dyDescent="0.25">
      <c r="A152" s="131"/>
      <c r="B152" s="133"/>
      <c r="C152" s="135"/>
      <c r="D152" s="131"/>
      <c r="E152" s="133"/>
      <c r="F152" s="147"/>
      <c r="G152" s="131"/>
      <c r="H152" s="133"/>
      <c r="I152" s="133"/>
      <c r="J152" s="133"/>
      <c r="K152" s="149"/>
      <c r="L152" s="144"/>
      <c r="M152" s="135"/>
      <c r="N152" s="11">
        <v>106</v>
      </c>
      <c r="O152" s="12" t="s">
        <v>400</v>
      </c>
      <c r="P152" s="106" t="s">
        <v>387</v>
      </c>
      <c r="Q152" s="106" t="s">
        <v>401</v>
      </c>
      <c r="R152" s="43" t="str">
        <f>HYPERLINK("https://old.iopan.pl/projects/Adamant/Macroplastic-2019/2019-07-28_Eidembukta (40).JPG","2019-07-28_Eidembukta (40)")</f>
        <v>2019-07-28_Eidembukta (40)</v>
      </c>
      <c r="S152" s="11">
        <v>2</v>
      </c>
      <c r="T152" s="56" t="s">
        <v>295</v>
      </c>
      <c r="U152" s="39" t="s">
        <v>31</v>
      </c>
      <c r="V152" s="37" t="s">
        <v>36</v>
      </c>
      <c r="W152" s="40">
        <v>43674</v>
      </c>
      <c r="X152" s="41">
        <v>0.5180555555555556</v>
      </c>
    </row>
    <row r="153" spans="1:24" x14ac:dyDescent="0.25">
      <c r="A153" s="131"/>
      <c r="B153" s="133"/>
      <c r="C153" s="135"/>
      <c r="D153" s="131"/>
      <c r="E153" s="133"/>
      <c r="F153" s="147"/>
      <c r="G153" s="131"/>
      <c r="H153" s="133"/>
      <c r="I153" s="133"/>
      <c r="J153" s="133"/>
      <c r="K153" s="149"/>
      <c r="L153" s="144"/>
      <c r="M153" s="135"/>
      <c r="N153" s="11">
        <v>107</v>
      </c>
      <c r="O153" s="12" t="s">
        <v>396</v>
      </c>
      <c r="P153" s="106" t="s">
        <v>387</v>
      </c>
      <c r="Q153" s="106" t="s">
        <v>397</v>
      </c>
      <c r="R153" s="43" t="str">
        <f>HYPERLINK("https://old.iopan.pl/projects/Adamant/Macroplastic-2019/2019-07-28_Eidembukta (41).JPG","2019-07-28_Eidembukta (41)")</f>
        <v>2019-07-28_Eidembukta (41)</v>
      </c>
      <c r="S153" s="11">
        <v>1</v>
      </c>
      <c r="T153" s="56">
        <v>46</v>
      </c>
      <c r="U153" s="39" t="s">
        <v>31</v>
      </c>
      <c r="V153" s="37" t="s">
        <v>36</v>
      </c>
      <c r="W153" s="40">
        <v>43674</v>
      </c>
      <c r="X153" s="41">
        <v>0.51874999999999993</v>
      </c>
    </row>
    <row r="154" spans="1:24" x14ac:dyDescent="0.25">
      <c r="A154" s="131"/>
      <c r="B154" s="133"/>
      <c r="C154" s="135"/>
      <c r="D154" s="131"/>
      <c r="E154" s="133"/>
      <c r="F154" s="147"/>
      <c r="G154" s="131"/>
      <c r="H154" s="133"/>
      <c r="I154" s="133"/>
      <c r="J154" s="133"/>
      <c r="K154" s="149"/>
      <c r="L154" s="144"/>
      <c r="M154" s="135"/>
      <c r="N154" s="11">
        <v>108</v>
      </c>
      <c r="O154" s="12" t="s">
        <v>402</v>
      </c>
      <c r="P154" s="106" t="s">
        <v>403</v>
      </c>
      <c r="Q154" s="106" t="s">
        <v>404</v>
      </c>
      <c r="R154" s="43" t="str">
        <f>HYPERLINK("https://old.iopan.pl/projects/Adamant/Macroplastic-2019/2019-07-28_Eidembukta (42).JPG","2019-07-28_Eidembukta (42)")</f>
        <v>2019-07-28_Eidembukta (42)</v>
      </c>
      <c r="S154" s="11">
        <v>1</v>
      </c>
      <c r="T154" s="56">
        <v>46</v>
      </c>
      <c r="U154" s="39" t="s">
        <v>31</v>
      </c>
      <c r="V154" s="37" t="s">
        <v>36</v>
      </c>
      <c r="W154" s="40">
        <v>43674</v>
      </c>
      <c r="X154" s="41">
        <v>0.52638888888888891</v>
      </c>
    </row>
    <row r="155" spans="1:24" x14ac:dyDescent="0.25">
      <c r="A155" s="131" t="s">
        <v>304</v>
      </c>
      <c r="B155" s="133" t="s">
        <v>405</v>
      </c>
      <c r="C155" s="135">
        <v>75</v>
      </c>
      <c r="D155" s="131">
        <v>5</v>
      </c>
      <c r="E155" s="133">
        <v>4</v>
      </c>
      <c r="F155" s="147" t="s">
        <v>406</v>
      </c>
      <c r="G155" s="131">
        <v>39</v>
      </c>
      <c r="H155" s="133" t="s">
        <v>306</v>
      </c>
      <c r="I155" s="133">
        <v>107</v>
      </c>
      <c r="J155" s="133">
        <v>76</v>
      </c>
      <c r="K155" s="149">
        <v>146</v>
      </c>
      <c r="L155" s="144" t="s">
        <v>90</v>
      </c>
      <c r="M155" s="135" t="s">
        <v>59</v>
      </c>
      <c r="N155" s="11">
        <v>109</v>
      </c>
      <c r="O155" s="12" t="s">
        <v>407</v>
      </c>
      <c r="P155" s="106" t="s">
        <v>408</v>
      </c>
      <c r="Q155" s="106" t="s">
        <v>409</v>
      </c>
      <c r="R155" s="43" t="str">
        <f>HYPERLINK("https://old.iopan.pl/projects/Adamant/Macroplastic-2019/2019-07-28_Eidembukta (43).JPG","2019-07-28_Eidembukta (43)")</f>
        <v>2019-07-28_Eidembukta (43)</v>
      </c>
      <c r="S155" s="11">
        <v>1</v>
      </c>
      <c r="T155" s="56">
        <v>46</v>
      </c>
      <c r="U155" s="39" t="s">
        <v>31</v>
      </c>
      <c r="V155" s="37" t="s">
        <v>36</v>
      </c>
      <c r="W155" s="40">
        <v>43674</v>
      </c>
      <c r="X155" s="41">
        <v>0.52847222222222223</v>
      </c>
    </row>
    <row r="156" spans="1:24" x14ac:dyDescent="0.25">
      <c r="A156" s="131"/>
      <c r="B156" s="133"/>
      <c r="C156" s="135"/>
      <c r="D156" s="131"/>
      <c r="E156" s="133"/>
      <c r="F156" s="147"/>
      <c r="G156" s="131"/>
      <c r="H156" s="133"/>
      <c r="I156" s="133"/>
      <c r="J156" s="133"/>
      <c r="K156" s="149"/>
      <c r="L156" s="144"/>
      <c r="M156" s="135"/>
      <c r="N156" s="11">
        <v>110</v>
      </c>
      <c r="O156" s="12" t="s">
        <v>410</v>
      </c>
      <c r="P156" s="106" t="s">
        <v>408</v>
      </c>
      <c r="Q156" s="106" t="s">
        <v>411</v>
      </c>
      <c r="R156" s="43" t="str">
        <f>HYPERLINK("https://old.iopan.pl/projects/Adamant/Macroplastic-2019/2019-07-28_Eidembukta (44).JPG","2019-07-28_Eidembukta (44)")</f>
        <v>2019-07-28_Eidembukta (44)</v>
      </c>
      <c r="S156" s="11">
        <v>3</v>
      </c>
      <c r="T156" s="56" t="s">
        <v>412</v>
      </c>
      <c r="U156" s="39" t="s">
        <v>31</v>
      </c>
      <c r="V156" s="37" t="s">
        <v>36</v>
      </c>
      <c r="W156" s="40">
        <v>43674</v>
      </c>
      <c r="X156" s="41">
        <v>0.53611111111111109</v>
      </c>
    </row>
    <row r="157" spans="1:24" x14ac:dyDescent="0.25">
      <c r="A157" s="124"/>
      <c r="B157" s="125"/>
      <c r="C157" s="126"/>
      <c r="D157" s="124"/>
      <c r="E157" s="125"/>
      <c r="F157" s="142"/>
      <c r="G157" s="167"/>
      <c r="H157" s="168"/>
      <c r="I157" s="168"/>
      <c r="J157" s="168"/>
      <c r="K157" s="169"/>
      <c r="L157" s="151"/>
      <c r="M157" s="126"/>
      <c r="N157" s="8">
        <v>111</v>
      </c>
      <c r="O157" s="9" t="s">
        <v>413</v>
      </c>
      <c r="P157" s="108" t="s">
        <v>414</v>
      </c>
      <c r="Q157" s="108" t="s">
        <v>415</v>
      </c>
      <c r="R157" s="57" t="str">
        <f>HYPERLINK("https://old.iopan.pl/projects/Adamant/Macroplastic-2019/2019-07-28_Eidembukta (45).JPG","2019-07-28_Eidembukta (45)")</f>
        <v>2019-07-28_Eidembukta (45)</v>
      </c>
      <c r="S157" s="8">
        <v>1</v>
      </c>
      <c r="T157" s="58">
        <v>5</v>
      </c>
      <c r="U157" s="42" t="s">
        <v>31</v>
      </c>
      <c r="V157" s="46" t="s">
        <v>71</v>
      </c>
      <c r="W157" s="49">
        <v>43674</v>
      </c>
      <c r="X157" s="50">
        <v>0.54166666666666663</v>
      </c>
    </row>
    <row r="158" spans="1:24" x14ac:dyDescent="0.25">
      <c r="A158" s="15" t="s">
        <v>416</v>
      </c>
      <c r="B158" s="16" t="s">
        <v>417</v>
      </c>
      <c r="C158" s="17">
        <v>100</v>
      </c>
      <c r="D158" s="15">
        <v>1</v>
      </c>
      <c r="E158" s="16">
        <v>1</v>
      </c>
      <c r="F158" s="51">
        <v>15</v>
      </c>
      <c r="G158" s="31">
        <v>77</v>
      </c>
      <c r="H158" s="6" t="s">
        <v>418</v>
      </c>
      <c r="I158" s="6">
        <v>145</v>
      </c>
      <c r="J158" s="6">
        <v>114</v>
      </c>
      <c r="K158" s="34">
        <v>184</v>
      </c>
      <c r="L158" s="52" t="s">
        <v>90</v>
      </c>
      <c r="M158" s="51" t="s">
        <v>27</v>
      </c>
      <c r="N158" s="52">
        <v>125</v>
      </c>
      <c r="O158" s="16" t="s">
        <v>419</v>
      </c>
      <c r="P158" s="109" t="s">
        <v>420</v>
      </c>
      <c r="Q158" s="109" t="s">
        <v>421</v>
      </c>
      <c r="R158" s="70" t="str">
        <f>HYPERLINK("https://old.iopan.pl/projects/Adamant/Macroplastic-2019/2019-07-29_StJohnsfjord (20).JPG","2019-07-29_StJohnsfjord (20)")</f>
        <v>2019-07-29_StJohnsfjord (20)</v>
      </c>
      <c r="S158" s="52">
        <v>1</v>
      </c>
      <c r="T158" s="53">
        <v>15</v>
      </c>
      <c r="U158" s="51" t="s">
        <v>31</v>
      </c>
      <c r="V158" s="52" t="s">
        <v>71</v>
      </c>
      <c r="W158" s="54">
        <v>43675</v>
      </c>
      <c r="X158" s="55">
        <v>0.50902777777777775</v>
      </c>
    </row>
    <row r="159" spans="1:24" x14ac:dyDescent="0.25">
      <c r="A159" s="11" t="s">
        <v>416</v>
      </c>
      <c r="B159" s="12" t="s">
        <v>422</v>
      </c>
      <c r="C159" s="13">
        <v>100</v>
      </c>
      <c r="D159" s="11">
        <v>1</v>
      </c>
      <c r="E159" s="12">
        <v>1</v>
      </c>
      <c r="F159" s="39">
        <v>31</v>
      </c>
      <c r="G159" s="37">
        <v>77</v>
      </c>
      <c r="H159" s="12" t="s">
        <v>418</v>
      </c>
      <c r="I159" s="12">
        <v>145</v>
      </c>
      <c r="J159" s="12">
        <v>114</v>
      </c>
      <c r="K159" s="39">
        <v>184</v>
      </c>
      <c r="L159" s="37" t="s">
        <v>26</v>
      </c>
      <c r="M159" s="39" t="s">
        <v>59</v>
      </c>
      <c r="N159" s="37">
        <v>124</v>
      </c>
      <c r="O159" s="12" t="s">
        <v>423</v>
      </c>
      <c r="P159" s="106" t="s">
        <v>424</v>
      </c>
      <c r="Q159" s="106" t="s">
        <v>425</v>
      </c>
      <c r="R159" s="71" t="str">
        <f>HYPERLINK("https://old.iopan.pl/projects/Adamant/Macroplastic-2019/2019-07-29_StJohnsfjord (17).JPG","2019-07-29_StJohnsfjord (17)")</f>
        <v>2019-07-29_StJohnsfjord (17)</v>
      </c>
      <c r="S159" s="37">
        <v>1</v>
      </c>
      <c r="T159" s="56">
        <v>31</v>
      </c>
      <c r="U159" s="39" t="s">
        <v>31</v>
      </c>
      <c r="V159" s="37" t="s">
        <v>36</v>
      </c>
      <c r="W159" s="40">
        <v>43675</v>
      </c>
      <c r="X159" s="41">
        <v>0.48749999999999999</v>
      </c>
    </row>
    <row r="160" spans="1:24" x14ac:dyDescent="0.25">
      <c r="A160" s="11" t="s">
        <v>416</v>
      </c>
      <c r="B160" s="12" t="s">
        <v>426</v>
      </c>
      <c r="C160" s="13">
        <v>100</v>
      </c>
      <c r="D160" s="11">
        <v>1</v>
      </c>
      <c r="E160" s="12">
        <v>1</v>
      </c>
      <c r="F160" s="39">
        <v>32</v>
      </c>
      <c r="G160" s="37">
        <v>77</v>
      </c>
      <c r="H160" s="12" t="s">
        <v>418</v>
      </c>
      <c r="I160" s="12">
        <v>145</v>
      </c>
      <c r="J160" s="12">
        <v>114</v>
      </c>
      <c r="K160" s="39">
        <v>184</v>
      </c>
      <c r="L160" s="37" t="s">
        <v>26</v>
      </c>
      <c r="M160" s="39" t="s">
        <v>27</v>
      </c>
      <c r="N160" s="37">
        <v>123</v>
      </c>
      <c r="O160" s="12" t="s">
        <v>427</v>
      </c>
      <c r="P160" s="106" t="s">
        <v>428</v>
      </c>
      <c r="Q160" s="106" t="s">
        <v>429</v>
      </c>
      <c r="R160" s="71" t="str">
        <f>HYPERLINK("https://old.iopan.pl/projects/Adamant/Macroplastic-2019/2019-07-29_StJohnsfjord (16).JPG","2019-07-29_StJohnsfjord (16)")</f>
        <v>2019-07-29_StJohnsfjord (16)</v>
      </c>
      <c r="S160" s="37">
        <v>1</v>
      </c>
      <c r="T160" s="56">
        <v>32</v>
      </c>
      <c r="U160" s="39" t="s">
        <v>31</v>
      </c>
      <c r="V160" s="37" t="s">
        <v>36</v>
      </c>
      <c r="W160" s="40">
        <v>43675</v>
      </c>
      <c r="X160" s="41">
        <v>0.48541666666666666</v>
      </c>
    </row>
    <row r="161" spans="1:24" x14ac:dyDescent="0.25">
      <c r="A161" s="11" t="s">
        <v>416</v>
      </c>
      <c r="B161" s="12" t="s">
        <v>430</v>
      </c>
      <c r="C161" s="13">
        <v>100</v>
      </c>
      <c r="D161" s="11">
        <v>0</v>
      </c>
      <c r="E161" s="12">
        <v>0</v>
      </c>
      <c r="F161" s="39" t="s">
        <v>31</v>
      </c>
      <c r="G161" s="37">
        <v>77</v>
      </c>
      <c r="H161" s="12" t="s">
        <v>418</v>
      </c>
      <c r="I161" s="12">
        <v>145</v>
      </c>
      <c r="J161" s="12">
        <v>114</v>
      </c>
      <c r="K161" s="39">
        <v>184</v>
      </c>
      <c r="L161" s="37" t="s">
        <v>26</v>
      </c>
      <c r="M161" s="39" t="s">
        <v>27</v>
      </c>
      <c r="N161" s="37" t="s">
        <v>31</v>
      </c>
      <c r="O161" s="12" t="s">
        <v>31</v>
      </c>
      <c r="P161" s="107" t="s">
        <v>31</v>
      </c>
      <c r="Q161" s="107" t="s">
        <v>31</v>
      </c>
      <c r="R161" s="39" t="s">
        <v>31</v>
      </c>
      <c r="S161" s="37" t="s">
        <v>31</v>
      </c>
      <c r="T161" s="56" t="s">
        <v>31</v>
      </c>
      <c r="U161" s="39" t="s">
        <v>31</v>
      </c>
      <c r="V161" s="37" t="s">
        <v>45</v>
      </c>
      <c r="W161" s="40">
        <v>43675</v>
      </c>
      <c r="X161" s="39" t="s">
        <v>31</v>
      </c>
    </row>
    <row r="162" spans="1:24" x14ac:dyDescent="0.25">
      <c r="A162" s="131" t="s">
        <v>416</v>
      </c>
      <c r="B162" s="133" t="s">
        <v>431</v>
      </c>
      <c r="C162" s="135">
        <v>100</v>
      </c>
      <c r="D162" s="131">
        <v>5</v>
      </c>
      <c r="E162" s="133">
        <v>3</v>
      </c>
      <c r="F162" s="170" t="s">
        <v>432</v>
      </c>
      <c r="G162" s="144">
        <v>77</v>
      </c>
      <c r="H162" s="133" t="s">
        <v>418</v>
      </c>
      <c r="I162" s="133">
        <v>145</v>
      </c>
      <c r="J162" s="133">
        <v>114</v>
      </c>
      <c r="K162" s="149">
        <v>184</v>
      </c>
      <c r="L162" s="144" t="s">
        <v>26</v>
      </c>
      <c r="M162" s="149" t="s">
        <v>27</v>
      </c>
      <c r="N162" s="37">
        <v>121</v>
      </c>
      <c r="O162" s="12" t="s">
        <v>433</v>
      </c>
      <c r="P162" s="106" t="s">
        <v>434</v>
      </c>
      <c r="Q162" s="106" t="s">
        <v>435</v>
      </c>
      <c r="R162" s="71" t="str">
        <f>HYPERLINK("https://old.iopan.pl/projects/Adamant/Macroplastic-2019/2019-07-29_StJohnsfjord (13).JPG","2019-07-29_StJohnsfjord (13)")</f>
        <v>2019-07-29_StJohnsfjord (13)</v>
      </c>
      <c r="S162" s="37">
        <v>3</v>
      </c>
      <c r="T162" s="56" t="s">
        <v>436</v>
      </c>
      <c r="U162" s="39" t="s">
        <v>31</v>
      </c>
      <c r="V162" s="37" t="s">
        <v>36</v>
      </c>
      <c r="W162" s="40">
        <v>43675</v>
      </c>
      <c r="X162" s="41">
        <v>0.45833333333333331</v>
      </c>
    </row>
    <row r="163" spans="1:24" x14ac:dyDescent="0.25">
      <c r="A163" s="131"/>
      <c r="B163" s="133"/>
      <c r="C163" s="135"/>
      <c r="D163" s="131"/>
      <c r="E163" s="133"/>
      <c r="F163" s="170"/>
      <c r="G163" s="144"/>
      <c r="H163" s="133"/>
      <c r="I163" s="133"/>
      <c r="J163" s="133"/>
      <c r="K163" s="149"/>
      <c r="L163" s="144"/>
      <c r="M163" s="149"/>
      <c r="N163" s="37">
        <v>122</v>
      </c>
      <c r="O163" s="12" t="s">
        <v>437</v>
      </c>
      <c r="P163" s="106" t="s">
        <v>438</v>
      </c>
      <c r="Q163" s="106" t="s">
        <v>439</v>
      </c>
      <c r="R163" s="71" t="str">
        <f>HYPERLINK("https://old.iopan.pl/projects/Adamant/Macroplastic-2019/2019-07-29_StJohnsfjord (15).JPG","2019-07-29_StJohnsfjord (15)")</f>
        <v>2019-07-29_StJohnsfjord (15)</v>
      </c>
      <c r="S163" s="37">
        <v>2</v>
      </c>
      <c r="T163" s="56" t="s">
        <v>159</v>
      </c>
      <c r="U163" s="39" t="s">
        <v>31</v>
      </c>
      <c r="V163" s="37" t="s">
        <v>36</v>
      </c>
      <c r="W163" s="40">
        <v>43675</v>
      </c>
      <c r="X163" s="41">
        <v>0.48472222222222222</v>
      </c>
    </row>
    <row r="164" spans="1:24" x14ac:dyDescent="0.25">
      <c r="A164" s="11" t="s">
        <v>416</v>
      </c>
      <c r="B164" s="12" t="s">
        <v>440</v>
      </c>
      <c r="C164" s="13">
        <v>100</v>
      </c>
      <c r="D164" s="11">
        <v>0</v>
      </c>
      <c r="E164" s="12">
        <v>0</v>
      </c>
      <c r="F164" s="39" t="s">
        <v>31</v>
      </c>
      <c r="G164" s="37">
        <v>77</v>
      </c>
      <c r="H164" s="12" t="s">
        <v>418</v>
      </c>
      <c r="I164" s="12">
        <v>145</v>
      </c>
      <c r="J164" s="12">
        <v>114</v>
      </c>
      <c r="K164" s="39">
        <v>184</v>
      </c>
      <c r="L164" s="37" t="s">
        <v>26</v>
      </c>
      <c r="M164" s="39" t="s">
        <v>87</v>
      </c>
      <c r="N164" s="37">
        <v>112</v>
      </c>
      <c r="O164" s="12" t="s">
        <v>441</v>
      </c>
      <c r="P164" s="106" t="s">
        <v>442</v>
      </c>
      <c r="Q164" s="106" t="s">
        <v>443</v>
      </c>
      <c r="R164" s="71" t="str">
        <f>HYPERLINK("https://old.iopan.pl/projects/Adamant/Macroplastic-2019/2019-07-29_StJohnsfjord (1).JPG","2019-07-29_StJohnsfjord (1)")</f>
        <v>2019-07-29_StJohnsfjord (1)</v>
      </c>
      <c r="S164" s="37">
        <v>0</v>
      </c>
      <c r="T164" s="56" t="s">
        <v>31</v>
      </c>
      <c r="U164" s="39" t="s">
        <v>31</v>
      </c>
      <c r="V164" s="37" t="s">
        <v>32</v>
      </c>
      <c r="W164" s="40">
        <v>43675</v>
      </c>
      <c r="X164" s="41">
        <v>0.43611111111111112</v>
      </c>
    </row>
    <row r="165" spans="1:24" x14ac:dyDescent="0.25">
      <c r="A165" s="131" t="s">
        <v>416</v>
      </c>
      <c r="B165" s="133" t="s">
        <v>444</v>
      </c>
      <c r="C165" s="135">
        <v>100</v>
      </c>
      <c r="D165" s="131">
        <v>3</v>
      </c>
      <c r="E165" s="133">
        <v>2</v>
      </c>
      <c r="F165" s="149" t="s">
        <v>445</v>
      </c>
      <c r="G165" s="144">
        <v>77</v>
      </c>
      <c r="H165" s="133" t="s">
        <v>418</v>
      </c>
      <c r="I165" s="133">
        <v>145</v>
      </c>
      <c r="J165" s="133">
        <v>114</v>
      </c>
      <c r="K165" s="149">
        <v>184</v>
      </c>
      <c r="L165" s="144" t="s">
        <v>26</v>
      </c>
      <c r="M165" s="149" t="s">
        <v>59</v>
      </c>
      <c r="N165" s="37">
        <v>113</v>
      </c>
      <c r="O165" s="12" t="s">
        <v>446</v>
      </c>
      <c r="P165" s="106" t="s">
        <v>442</v>
      </c>
      <c r="Q165" s="106" t="s">
        <v>447</v>
      </c>
      <c r="R165" s="71" t="str">
        <f>HYPERLINK("https://old.iopan.pl/projects/Adamant/Macroplastic-2019/2019-07-29_StJohnsfjord (3).JPG","2019-07-29_StJohnsfjord (3)")</f>
        <v>2019-07-29_StJohnsfjord (3)</v>
      </c>
      <c r="S165" s="37">
        <v>1</v>
      </c>
      <c r="T165" s="56">
        <v>32</v>
      </c>
      <c r="U165" s="39" t="s">
        <v>31</v>
      </c>
      <c r="V165" s="37" t="s">
        <v>36</v>
      </c>
      <c r="W165" s="40">
        <v>43675</v>
      </c>
      <c r="X165" s="41">
        <v>0.43958333333333338</v>
      </c>
    </row>
    <row r="166" spans="1:24" x14ac:dyDescent="0.25">
      <c r="A166" s="131"/>
      <c r="B166" s="133"/>
      <c r="C166" s="135"/>
      <c r="D166" s="131"/>
      <c r="E166" s="133"/>
      <c r="F166" s="149"/>
      <c r="G166" s="144"/>
      <c r="H166" s="133"/>
      <c r="I166" s="133"/>
      <c r="J166" s="133"/>
      <c r="K166" s="149"/>
      <c r="L166" s="144"/>
      <c r="M166" s="149"/>
      <c r="N166" s="37">
        <v>114</v>
      </c>
      <c r="O166" s="12" t="s">
        <v>448</v>
      </c>
      <c r="P166" s="106" t="s">
        <v>442</v>
      </c>
      <c r="Q166" s="106" t="s">
        <v>449</v>
      </c>
      <c r="R166" s="71" t="str">
        <f>HYPERLINK("https://old.iopan.pl/projects/Adamant/Macroplastic-2019/2019-07-29_StJohnsfjord (4).JPG","2019-07-29_StJohnsfjord (4)")</f>
        <v>2019-07-29_StJohnsfjord (4)</v>
      </c>
      <c r="S166" s="37">
        <v>1</v>
      </c>
      <c r="T166" s="56">
        <v>32</v>
      </c>
      <c r="U166" s="39" t="s">
        <v>31</v>
      </c>
      <c r="V166" s="37" t="s">
        <v>36</v>
      </c>
      <c r="W166" s="40">
        <v>43675</v>
      </c>
      <c r="X166" s="41">
        <v>0.43958333333333338</v>
      </c>
    </row>
    <row r="167" spans="1:24" x14ac:dyDescent="0.25">
      <c r="A167" s="131"/>
      <c r="B167" s="133"/>
      <c r="C167" s="135"/>
      <c r="D167" s="131"/>
      <c r="E167" s="133"/>
      <c r="F167" s="149"/>
      <c r="G167" s="144"/>
      <c r="H167" s="133"/>
      <c r="I167" s="133"/>
      <c r="J167" s="133"/>
      <c r="K167" s="149"/>
      <c r="L167" s="144"/>
      <c r="M167" s="149"/>
      <c r="N167" s="37">
        <v>115</v>
      </c>
      <c r="O167" s="12" t="s">
        <v>450</v>
      </c>
      <c r="P167" s="106" t="s">
        <v>434</v>
      </c>
      <c r="Q167" s="106" t="s">
        <v>449</v>
      </c>
      <c r="R167" s="71" t="str">
        <f>HYPERLINK("https://old.iopan.pl/projects/Adamant/Macroplastic-2019/2019-07-29_StJohnsfjord (5).JPG","2019-07-29_StJohnsfjord (5)")</f>
        <v>2019-07-29_StJohnsfjord (5)</v>
      </c>
      <c r="S167" s="37">
        <v>1</v>
      </c>
      <c r="T167" s="56">
        <v>33</v>
      </c>
      <c r="U167" s="39" t="s">
        <v>31</v>
      </c>
      <c r="V167" s="37" t="s">
        <v>36</v>
      </c>
      <c r="W167" s="40">
        <v>43675</v>
      </c>
      <c r="X167" s="41">
        <v>0.44027777777777777</v>
      </c>
    </row>
    <row r="168" spans="1:24" x14ac:dyDescent="0.25">
      <c r="A168" s="131" t="s">
        <v>416</v>
      </c>
      <c r="B168" s="133" t="s">
        <v>451</v>
      </c>
      <c r="C168" s="135">
        <v>100</v>
      </c>
      <c r="D168" s="131">
        <v>1</v>
      </c>
      <c r="E168" s="133">
        <v>1</v>
      </c>
      <c r="F168" s="149">
        <v>32</v>
      </c>
      <c r="G168" s="144">
        <v>77</v>
      </c>
      <c r="H168" s="133" t="s">
        <v>418</v>
      </c>
      <c r="I168" s="133">
        <v>145</v>
      </c>
      <c r="J168" s="133">
        <v>114</v>
      </c>
      <c r="K168" s="149">
        <v>184</v>
      </c>
      <c r="L168" s="144" t="s">
        <v>26</v>
      </c>
      <c r="M168" s="149" t="s">
        <v>87</v>
      </c>
      <c r="N168" s="144">
        <v>116</v>
      </c>
      <c r="O168" s="133" t="s">
        <v>452</v>
      </c>
      <c r="P168" s="162" t="s">
        <v>442</v>
      </c>
      <c r="Q168" s="162" t="s">
        <v>453</v>
      </c>
      <c r="R168" s="71" t="str">
        <f>HYPERLINK("https://old.iopan.pl/projects/Adamant/Macroplastic-2019/2019-07-29_StJohnsfjord (6).JPG","2019-07-29_StJohnsfjord (6)")</f>
        <v>2019-07-29_StJohnsfjord (6)</v>
      </c>
      <c r="S168" s="37">
        <v>1</v>
      </c>
      <c r="T168" s="56">
        <v>32</v>
      </c>
      <c r="U168" s="39" t="s">
        <v>31</v>
      </c>
      <c r="V168" s="37" t="s">
        <v>36</v>
      </c>
      <c r="W168" s="40">
        <v>43675</v>
      </c>
      <c r="X168" s="41">
        <v>0.44236111111111115</v>
      </c>
    </row>
    <row r="169" spans="1:24" x14ac:dyDescent="0.25">
      <c r="A169" s="131"/>
      <c r="B169" s="133"/>
      <c r="C169" s="135"/>
      <c r="D169" s="131"/>
      <c r="E169" s="133"/>
      <c r="F169" s="149"/>
      <c r="G169" s="144"/>
      <c r="H169" s="133"/>
      <c r="I169" s="133"/>
      <c r="J169" s="133"/>
      <c r="K169" s="149"/>
      <c r="L169" s="144"/>
      <c r="M169" s="149"/>
      <c r="N169" s="144"/>
      <c r="O169" s="133"/>
      <c r="P169" s="162"/>
      <c r="Q169" s="162"/>
      <c r="R169" s="71" t="str">
        <f>HYPERLINK("https://old.iopan.pl/projects/Adamant/Macroplastic-2019/2019-07-29_StJohnsfjord (7).JPG","2019-07-29_StJohnsfjord (7)")</f>
        <v>2019-07-29_StJohnsfjord (7)</v>
      </c>
      <c r="S169" s="37" t="s">
        <v>189</v>
      </c>
      <c r="T169" s="56" t="s">
        <v>454</v>
      </c>
      <c r="U169" s="39" t="s">
        <v>31</v>
      </c>
      <c r="V169" s="37" t="s">
        <v>455</v>
      </c>
      <c r="W169" s="40">
        <v>43675</v>
      </c>
      <c r="X169" s="41">
        <v>0.44305555555555554</v>
      </c>
    </row>
    <row r="170" spans="1:24" x14ac:dyDescent="0.25">
      <c r="A170" s="131" t="s">
        <v>416</v>
      </c>
      <c r="B170" s="133" t="s">
        <v>456</v>
      </c>
      <c r="C170" s="135">
        <v>70</v>
      </c>
      <c r="D170" s="131">
        <v>5</v>
      </c>
      <c r="E170" s="133">
        <v>4</v>
      </c>
      <c r="F170" s="170" t="s">
        <v>457</v>
      </c>
      <c r="G170" s="144">
        <v>77</v>
      </c>
      <c r="H170" s="133" t="s">
        <v>418</v>
      </c>
      <c r="I170" s="133">
        <v>145</v>
      </c>
      <c r="J170" s="133">
        <v>114</v>
      </c>
      <c r="K170" s="149">
        <v>184</v>
      </c>
      <c r="L170" s="144" t="s">
        <v>26</v>
      </c>
      <c r="M170" s="149" t="s">
        <v>87</v>
      </c>
      <c r="N170" s="37">
        <v>117</v>
      </c>
      <c r="O170" s="12" t="s">
        <v>458</v>
      </c>
      <c r="P170" s="106" t="s">
        <v>434</v>
      </c>
      <c r="Q170" s="106" t="s">
        <v>453</v>
      </c>
      <c r="R170" s="71" t="str">
        <f>HYPERLINK("https://old.iopan.pl/projects/Adamant/Macroplastic-2019/2019-07-29_StJohnsfjord (8).JPG","2019-07-29_StJohnsfjord (8)")</f>
        <v>2019-07-29_StJohnsfjord (8)</v>
      </c>
      <c r="S170" s="37">
        <v>1</v>
      </c>
      <c r="T170" s="56">
        <v>46</v>
      </c>
      <c r="U170" s="39" t="s">
        <v>31</v>
      </c>
      <c r="V170" s="37" t="s">
        <v>36</v>
      </c>
      <c r="W170" s="40">
        <v>43675</v>
      </c>
      <c r="X170" s="41">
        <v>0.44444444444444442</v>
      </c>
    </row>
    <row r="171" spans="1:24" x14ac:dyDescent="0.25">
      <c r="A171" s="131"/>
      <c r="B171" s="133"/>
      <c r="C171" s="135"/>
      <c r="D171" s="131"/>
      <c r="E171" s="133"/>
      <c r="F171" s="170"/>
      <c r="G171" s="144"/>
      <c r="H171" s="133"/>
      <c r="I171" s="133"/>
      <c r="J171" s="133"/>
      <c r="K171" s="149"/>
      <c r="L171" s="144"/>
      <c r="M171" s="149"/>
      <c r="N171" s="37">
        <v>118</v>
      </c>
      <c r="O171" s="12" t="s">
        <v>459</v>
      </c>
      <c r="P171" s="106" t="s">
        <v>442</v>
      </c>
      <c r="Q171" s="106" t="s">
        <v>460</v>
      </c>
      <c r="R171" s="71" t="str">
        <f>HYPERLINK("https://old.iopan.pl/projects/Adamant/Macroplastic-2019/2019-07-29_StJohnsfjord (9).JPG","2019-07-29_StJohnsfjord (9)")</f>
        <v>2019-07-29_StJohnsfjord (9)</v>
      </c>
      <c r="S171" s="37">
        <v>1</v>
      </c>
      <c r="T171" s="56">
        <v>39</v>
      </c>
      <c r="U171" s="39" t="s">
        <v>31</v>
      </c>
      <c r="V171" s="37" t="s">
        <v>36</v>
      </c>
      <c r="W171" s="40">
        <v>43675</v>
      </c>
      <c r="X171" s="41">
        <v>0.44513888888888892</v>
      </c>
    </row>
    <row r="172" spans="1:24" x14ac:dyDescent="0.25">
      <c r="A172" s="131"/>
      <c r="B172" s="133"/>
      <c r="C172" s="135"/>
      <c r="D172" s="131"/>
      <c r="E172" s="133"/>
      <c r="F172" s="170"/>
      <c r="G172" s="144"/>
      <c r="H172" s="133"/>
      <c r="I172" s="133"/>
      <c r="J172" s="133"/>
      <c r="K172" s="149"/>
      <c r="L172" s="144"/>
      <c r="M172" s="149"/>
      <c r="N172" s="37">
        <v>119</v>
      </c>
      <c r="O172" s="12" t="s">
        <v>461</v>
      </c>
      <c r="P172" s="106" t="s">
        <v>442</v>
      </c>
      <c r="Q172" s="106" t="s">
        <v>462</v>
      </c>
      <c r="R172" s="71" t="str">
        <f>HYPERLINK("https://old.iopan.pl/projects/Adamant/Macroplastic-2019/2019-07-29_StJohnsfjord (10).JPG","2019-07-29_StJohnsfjord (10)")</f>
        <v>2019-07-29_StJohnsfjord (10)</v>
      </c>
      <c r="S172" s="37">
        <v>2</v>
      </c>
      <c r="T172" s="56" t="s">
        <v>463</v>
      </c>
      <c r="U172" s="39" t="s">
        <v>31</v>
      </c>
      <c r="V172" s="37" t="s">
        <v>36</v>
      </c>
      <c r="W172" s="40">
        <v>43675</v>
      </c>
      <c r="X172" s="41">
        <v>0.45069444444444445</v>
      </c>
    </row>
    <row r="173" spans="1:24" x14ac:dyDescent="0.25">
      <c r="A173" s="124"/>
      <c r="B173" s="125"/>
      <c r="C173" s="126"/>
      <c r="D173" s="124"/>
      <c r="E173" s="125"/>
      <c r="F173" s="171"/>
      <c r="G173" s="151"/>
      <c r="H173" s="125"/>
      <c r="I173" s="125"/>
      <c r="J173" s="125"/>
      <c r="K173" s="141"/>
      <c r="L173" s="151"/>
      <c r="M173" s="141"/>
      <c r="N173" s="46">
        <v>120</v>
      </c>
      <c r="O173" s="9" t="s">
        <v>464</v>
      </c>
      <c r="P173" s="108" t="s">
        <v>438</v>
      </c>
      <c r="Q173" s="108" t="s">
        <v>465</v>
      </c>
      <c r="R173" s="72" t="str">
        <f>HYPERLINK("https://old.iopan.pl/projects/Adamant/Macroplastic-2019/2019-07-29_StJohnsfjord (12).JPG","2019-07-29_StJohnsfjord (12)")</f>
        <v>2019-07-29_StJohnsfjord (12)</v>
      </c>
      <c r="S173" s="46">
        <v>1</v>
      </c>
      <c r="T173" s="58">
        <v>39</v>
      </c>
      <c r="U173" s="42" t="s">
        <v>31</v>
      </c>
      <c r="V173" s="46" t="s">
        <v>36</v>
      </c>
      <c r="W173" s="49">
        <v>43675</v>
      </c>
      <c r="X173" s="50">
        <v>0.45277777777777778</v>
      </c>
    </row>
    <row r="174" spans="1:24" x14ac:dyDescent="0.25">
      <c r="A174" s="130" t="s">
        <v>466</v>
      </c>
      <c r="B174" s="132" t="s">
        <v>467</v>
      </c>
      <c r="C174" s="134">
        <v>100</v>
      </c>
      <c r="D174" s="130">
        <v>7</v>
      </c>
      <c r="E174" s="132">
        <v>5</v>
      </c>
      <c r="F174" s="164" t="s">
        <v>468</v>
      </c>
      <c r="G174" s="130">
        <v>67</v>
      </c>
      <c r="H174" s="132">
        <v>3</v>
      </c>
      <c r="I174" s="132">
        <v>135</v>
      </c>
      <c r="J174" s="132">
        <v>105</v>
      </c>
      <c r="K174" s="134">
        <v>174</v>
      </c>
      <c r="L174" s="130" t="s">
        <v>26</v>
      </c>
      <c r="M174" s="134" t="s">
        <v>27</v>
      </c>
      <c r="N174" s="130">
        <v>126</v>
      </c>
      <c r="O174" s="132" t="s">
        <v>469</v>
      </c>
      <c r="P174" s="163" t="s">
        <v>470</v>
      </c>
      <c r="Q174" s="163" t="s">
        <v>471</v>
      </c>
      <c r="R174" s="73" t="str">
        <f>HYPERLINK("https://old.iopan.pl/projects/Adamant/Macroplastic-2019/2019-07-29_Dahlbrebukta (1).JPG","2019-07-29_Dahlbrebukta (1))")</f>
        <v>2019-07-29_Dahlbrebukta (1))</v>
      </c>
      <c r="S174" s="74">
        <v>0</v>
      </c>
      <c r="T174" s="75" t="s">
        <v>31</v>
      </c>
      <c r="U174" s="51" t="s">
        <v>31</v>
      </c>
      <c r="V174" s="52" t="s">
        <v>32</v>
      </c>
      <c r="W174" s="54">
        <v>43675</v>
      </c>
      <c r="X174" s="76">
        <v>0.75277777777777777</v>
      </c>
    </row>
    <row r="175" spans="1:24" x14ac:dyDescent="0.25">
      <c r="A175" s="131"/>
      <c r="B175" s="133"/>
      <c r="C175" s="135"/>
      <c r="D175" s="131"/>
      <c r="E175" s="133"/>
      <c r="F175" s="147"/>
      <c r="G175" s="131"/>
      <c r="H175" s="133"/>
      <c r="I175" s="133"/>
      <c r="J175" s="133"/>
      <c r="K175" s="135"/>
      <c r="L175" s="131"/>
      <c r="M175" s="135"/>
      <c r="N175" s="131"/>
      <c r="O175" s="133"/>
      <c r="P175" s="162"/>
      <c r="Q175" s="162"/>
      <c r="R175" s="77" t="str">
        <f>HYPERLINK("https://old.iopan.pl/projects/Adamant/Macroplastic-2019/2019-07-29_Dahlbrebukta (2).JPG","2019-07-29_Dahlbrebukta (2))")</f>
        <v>2019-07-29_Dahlbrebukta (2))</v>
      </c>
      <c r="S175" s="78">
        <v>4</v>
      </c>
      <c r="T175" s="79" t="s">
        <v>472</v>
      </c>
      <c r="U175" s="39" t="s">
        <v>31</v>
      </c>
      <c r="V175" s="37" t="s">
        <v>36</v>
      </c>
      <c r="W175" s="40">
        <v>43675</v>
      </c>
      <c r="X175" s="80">
        <v>0.76111111111111107</v>
      </c>
    </row>
    <row r="176" spans="1:24" x14ac:dyDescent="0.25">
      <c r="A176" s="131"/>
      <c r="B176" s="133"/>
      <c r="C176" s="135"/>
      <c r="D176" s="131"/>
      <c r="E176" s="133"/>
      <c r="F176" s="147"/>
      <c r="G176" s="131"/>
      <c r="H176" s="133"/>
      <c r="I176" s="133"/>
      <c r="J176" s="133"/>
      <c r="K176" s="135"/>
      <c r="L176" s="131"/>
      <c r="M176" s="135"/>
      <c r="N176" s="11">
        <v>127</v>
      </c>
      <c r="O176" s="12" t="s">
        <v>473</v>
      </c>
      <c r="P176" s="106" t="s">
        <v>470</v>
      </c>
      <c r="Q176" s="106" t="s">
        <v>474</v>
      </c>
      <c r="R176" s="77" t="str">
        <f>HYPERLINK("https://old.iopan.pl/projects/Adamant/Macroplastic-2019/2019-07-29_Dahlbrebukta (3).JPG","2019-07-29_Dahlbrebukta (3))")</f>
        <v>2019-07-29_Dahlbrebukta (3))</v>
      </c>
      <c r="S176" s="78">
        <v>1</v>
      </c>
      <c r="T176" s="79">
        <v>115</v>
      </c>
      <c r="U176" s="39" t="s">
        <v>31</v>
      </c>
      <c r="V176" s="37" t="s">
        <v>36</v>
      </c>
      <c r="W176" s="40">
        <v>43675</v>
      </c>
      <c r="X176" s="80">
        <v>0.76180555555555562</v>
      </c>
    </row>
    <row r="177" spans="1:24" x14ac:dyDescent="0.25">
      <c r="A177" s="131"/>
      <c r="B177" s="133"/>
      <c r="C177" s="135"/>
      <c r="D177" s="131"/>
      <c r="E177" s="133"/>
      <c r="F177" s="147"/>
      <c r="G177" s="131"/>
      <c r="H177" s="133"/>
      <c r="I177" s="133"/>
      <c r="J177" s="133"/>
      <c r="K177" s="135"/>
      <c r="L177" s="131"/>
      <c r="M177" s="135"/>
      <c r="N177" s="11">
        <v>128</v>
      </c>
      <c r="O177" s="12" t="s">
        <v>475</v>
      </c>
      <c r="P177" s="106" t="s">
        <v>470</v>
      </c>
      <c r="Q177" s="106" t="s">
        <v>476</v>
      </c>
      <c r="R177" s="77" t="str">
        <f>HYPERLINK("https://old.iopan.pl/projects/Adamant/Macroplastic-2019/2019-07-29_Dahlbrebukta (4).JPG","2019-07-29_Dahlbrebukta (4))")</f>
        <v>2019-07-29_Dahlbrebukta (4))</v>
      </c>
      <c r="S177" s="78">
        <v>2</v>
      </c>
      <c r="T177" s="79" t="s">
        <v>477</v>
      </c>
      <c r="U177" s="39" t="s">
        <v>31</v>
      </c>
      <c r="V177" s="37" t="s">
        <v>36</v>
      </c>
      <c r="W177" s="40">
        <v>43675</v>
      </c>
      <c r="X177" s="80">
        <v>0.76250000000000007</v>
      </c>
    </row>
    <row r="178" spans="1:24" x14ac:dyDescent="0.25">
      <c r="A178" s="11" t="s">
        <v>466</v>
      </c>
      <c r="B178" s="12" t="s">
        <v>478</v>
      </c>
      <c r="C178" s="13">
        <v>100</v>
      </c>
      <c r="D178" s="11">
        <v>0</v>
      </c>
      <c r="E178" s="12">
        <v>0</v>
      </c>
      <c r="F178" s="13" t="s">
        <v>31</v>
      </c>
      <c r="G178" s="11">
        <v>67</v>
      </c>
      <c r="H178" s="12">
        <v>3</v>
      </c>
      <c r="I178" s="12">
        <v>135</v>
      </c>
      <c r="J178" s="12">
        <v>105</v>
      </c>
      <c r="K178" s="13">
        <v>174</v>
      </c>
      <c r="L178" s="11" t="s">
        <v>26</v>
      </c>
      <c r="M178" s="13" t="s">
        <v>27</v>
      </c>
      <c r="N178" s="11" t="s">
        <v>31</v>
      </c>
      <c r="O178" s="12" t="s">
        <v>31</v>
      </c>
      <c r="P178" s="107" t="s">
        <v>31</v>
      </c>
      <c r="Q178" s="107" t="s">
        <v>31</v>
      </c>
      <c r="R178" s="13" t="s">
        <v>31</v>
      </c>
      <c r="S178" s="11" t="s">
        <v>31</v>
      </c>
      <c r="T178" s="56" t="s">
        <v>31</v>
      </c>
      <c r="U178" s="39" t="s">
        <v>31</v>
      </c>
      <c r="V178" s="37" t="s">
        <v>45</v>
      </c>
      <c r="W178" s="40">
        <v>43675</v>
      </c>
      <c r="X178" s="39" t="s">
        <v>31</v>
      </c>
    </row>
    <row r="179" spans="1:24" x14ac:dyDescent="0.25">
      <c r="A179" s="11" t="s">
        <v>466</v>
      </c>
      <c r="B179" s="12" t="s">
        <v>479</v>
      </c>
      <c r="C179" s="13">
        <v>100</v>
      </c>
      <c r="D179" s="11">
        <v>0</v>
      </c>
      <c r="E179" s="12">
        <v>0</v>
      </c>
      <c r="F179" s="13" t="s">
        <v>31</v>
      </c>
      <c r="G179" s="11">
        <v>67</v>
      </c>
      <c r="H179" s="12">
        <v>3</v>
      </c>
      <c r="I179" s="12">
        <v>135</v>
      </c>
      <c r="J179" s="12">
        <v>105</v>
      </c>
      <c r="K179" s="13">
        <v>174</v>
      </c>
      <c r="L179" s="11" t="s">
        <v>26</v>
      </c>
      <c r="M179" s="13" t="s">
        <v>27</v>
      </c>
      <c r="N179" s="11" t="s">
        <v>31</v>
      </c>
      <c r="O179" s="12" t="s">
        <v>31</v>
      </c>
      <c r="P179" s="107" t="s">
        <v>31</v>
      </c>
      <c r="Q179" s="107" t="s">
        <v>31</v>
      </c>
      <c r="R179" s="13" t="s">
        <v>31</v>
      </c>
      <c r="S179" s="11" t="s">
        <v>31</v>
      </c>
      <c r="T179" s="56" t="s">
        <v>31</v>
      </c>
      <c r="U179" s="39" t="s">
        <v>31</v>
      </c>
      <c r="V179" s="37" t="s">
        <v>45</v>
      </c>
      <c r="W179" s="40">
        <v>43675</v>
      </c>
      <c r="X179" s="39" t="s">
        <v>31</v>
      </c>
    </row>
    <row r="180" spans="1:24" x14ac:dyDescent="0.25">
      <c r="A180" s="11" t="s">
        <v>466</v>
      </c>
      <c r="B180" s="12" t="s">
        <v>480</v>
      </c>
      <c r="C180" s="13">
        <v>100</v>
      </c>
      <c r="D180" s="11">
        <v>0</v>
      </c>
      <c r="E180" s="12">
        <v>0</v>
      </c>
      <c r="F180" s="13" t="s">
        <v>31</v>
      </c>
      <c r="G180" s="11">
        <v>67</v>
      </c>
      <c r="H180" s="12">
        <v>3</v>
      </c>
      <c r="I180" s="12">
        <v>135</v>
      </c>
      <c r="J180" s="12">
        <v>105</v>
      </c>
      <c r="K180" s="13">
        <v>174</v>
      </c>
      <c r="L180" s="11" t="s">
        <v>26</v>
      </c>
      <c r="M180" s="13" t="s">
        <v>87</v>
      </c>
      <c r="N180" s="11" t="s">
        <v>31</v>
      </c>
      <c r="O180" s="12" t="s">
        <v>31</v>
      </c>
      <c r="P180" s="107" t="s">
        <v>31</v>
      </c>
      <c r="Q180" s="107" t="s">
        <v>31</v>
      </c>
      <c r="R180" s="13" t="s">
        <v>31</v>
      </c>
      <c r="S180" s="11" t="s">
        <v>31</v>
      </c>
      <c r="T180" s="56" t="s">
        <v>31</v>
      </c>
      <c r="U180" s="39" t="s">
        <v>31</v>
      </c>
      <c r="V180" s="37" t="s">
        <v>45</v>
      </c>
      <c r="W180" s="40">
        <v>43675</v>
      </c>
      <c r="X180" s="39" t="s">
        <v>31</v>
      </c>
    </row>
    <row r="181" spans="1:24" x14ac:dyDescent="0.25">
      <c r="A181" s="11" t="s">
        <v>466</v>
      </c>
      <c r="B181" s="12" t="s">
        <v>481</v>
      </c>
      <c r="C181" s="13">
        <v>100</v>
      </c>
      <c r="D181" s="11">
        <v>0</v>
      </c>
      <c r="E181" s="12">
        <v>0</v>
      </c>
      <c r="F181" s="13" t="s">
        <v>31</v>
      </c>
      <c r="G181" s="11">
        <v>67</v>
      </c>
      <c r="H181" s="12">
        <v>3</v>
      </c>
      <c r="I181" s="12">
        <v>135</v>
      </c>
      <c r="J181" s="12">
        <v>105</v>
      </c>
      <c r="K181" s="13">
        <v>174</v>
      </c>
      <c r="L181" s="11" t="s">
        <v>26</v>
      </c>
      <c r="M181" s="13" t="s">
        <v>27</v>
      </c>
      <c r="N181" s="11" t="s">
        <v>31</v>
      </c>
      <c r="O181" s="12" t="s">
        <v>31</v>
      </c>
      <c r="P181" s="107" t="s">
        <v>31</v>
      </c>
      <c r="Q181" s="107" t="s">
        <v>31</v>
      </c>
      <c r="R181" s="13" t="s">
        <v>31</v>
      </c>
      <c r="S181" s="11" t="s">
        <v>31</v>
      </c>
      <c r="T181" s="56" t="s">
        <v>31</v>
      </c>
      <c r="U181" s="39" t="s">
        <v>31</v>
      </c>
      <c r="V181" s="37" t="s">
        <v>45</v>
      </c>
      <c r="W181" s="40">
        <v>43675</v>
      </c>
      <c r="X181" s="39" t="s">
        <v>31</v>
      </c>
    </row>
    <row r="182" spans="1:24" x14ac:dyDescent="0.25">
      <c r="A182" s="11" t="s">
        <v>466</v>
      </c>
      <c r="B182" s="12" t="s">
        <v>482</v>
      </c>
      <c r="C182" s="13">
        <v>100</v>
      </c>
      <c r="D182" s="11">
        <v>0</v>
      </c>
      <c r="E182" s="12">
        <v>0</v>
      </c>
      <c r="F182" s="13" t="s">
        <v>31</v>
      </c>
      <c r="G182" s="11">
        <v>67</v>
      </c>
      <c r="H182" s="12">
        <v>3</v>
      </c>
      <c r="I182" s="12">
        <v>135</v>
      </c>
      <c r="J182" s="12">
        <v>105</v>
      </c>
      <c r="K182" s="13">
        <v>174</v>
      </c>
      <c r="L182" s="11" t="s">
        <v>26</v>
      </c>
      <c r="M182" s="13" t="s">
        <v>87</v>
      </c>
      <c r="N182" s="11" t="s">
        <v>31</v>
      </c>
      <c r="O182" s="12" t="s">
        <v>31</v>
      </c>
      <c r="P182" s="107" t="s">
        <v>31</v>
      </c>
      <c r="Q182" s="107" t="s">
        <v>31</v>
      </c>
      <c r="R182" s="13" t="s">
        <v>31</v>
      </c>
      <c r="S182" s="11" t="s">
        <v>31</v>
      </c>
      <c r="T182" s="56" t="s">
        <v>31</v>
      </c>
      <c r="U182" s="39" t="s">
        <v>31</v>
      </c>
      <c r="V182" s="37" t="s">
        <v>45</v>
      </c>
      <c r="W182" s="40">
        <v>43675</v>
      </c>
      <c r="X182" s="39" t="s">
        <v>31</v>
      </c>
    </row>
    <row r="183" spans="1:24" x14ac:dyDescent="0.25">
      <c r="A183" s="11" t="s">
        <v>466</v>
      </c>
      <c r="B183" s="12" t="s">
        <v>483</v>
      </c>
      <c r="C183" s="13">
        <v>100</v>
      </c>
      <c r="D183" s="11">
        <v>0</v>
      </c>
      <c r="E183" s="12">
        <v>0</v>
      </c>
      <c r="F183" s="13" t="s">
        <v>31</v>
      </c>
      <c r="G183" s="11">
        <v>67</v>
      </c>
      <c r="H183" s="12">
        <v>3</v>
      </c>
      <c r="I183" s="12">
        <v>135</v>
      </c>
      <c r="J183" s="12">
        <v>105</v>
      </c>
      <c r="K183" s="13">
        <v>174</v>
      </c>
      <c r="L183" s="11" t="s">
        <v>26</v>
      </c>
      <c r="M183" s="13" t="s">
        <v>27</v>
      </c>
      <c r="N183" s="11" t="s">
        <v>31</v>
      </c>
      <c r="O183" s="12" t="s">
        <v>31</v>
      </c>
      <c r="P183" s="107" t="s">
        <v>31</v>
      </c>
      <c r="Q183" s="107" t="s">
        <v>31</v>
      </c>
      <c r="R183" s="13" t="s">
        <v>31</v>
      </c>
      <c r="S183" s="11" t="s">
        <v>31</v>
      </c>
      <c r="T183" s="56" t="s">
        <v>31</v>
      </c>
      <c r="U183" s="39" t="s">
        <v>31</v>
      </c>
      <c r="V183" s="37" t="s">
        <v>45</v>
      </c>
      <c r="W183" s="40">
        <v>43675</v>
      </c>
      <c r="X183" s="39" t="s">
        <v>31</v>
      </c>
    </row>
    <row r="184" spans="1:24" x14ac:dyDescent="0.25">
      <c r="A184" s="11" t="s">
        <v>466</v>
      </c>
      <c r="B184" s="12" t="s">
        <v>484</v>
      </c>
      <c r="C184" s="13">
        <v>100</v>
      </c>
      <c r="D184" s="11">
        <v>1</v>
      </c>
      <c r="E184" s="12">
        <v>1</v>
      </c>
      <c r="F184" s="13">
        <v>32</v>
      </c>
      <c r="G184" s="11">
        <v>67</v>
      </c>
      <c r="H184" s="12">
        <v>3</v>
      </c>
      <c r="I184" s="12">
        <v>135</v>
      </c>
      <c r="J184" s="12">
        <v>105</v>
      </c>
      <c r="K184" s="13">
        <v>174</v>
      </c>
      <c r="L184" s="11" t="s">
        <v>26</v>
      </c>
      <c r="M184" s="13" t="s">
        <v>87</v>
      </c>
      <c r="N184" s="11">
        <v>129</v>
      </c>
      <c r="O184" s="12" t="s">
        <v>485</v>
      </c>
      <c r="P184" s="106" t="s">
        <v>486</v>
      </c>
      <c r="Q184" s="106" t="s">
        <v>487</v>
      </c>
      <c r="R184" s="77" t="str">
        <f>HYPERLINK("https://old.iopan.pl/projects/Adamant/Macroplastic-2019/2019-07-29_Dahlbrebukta (5).JPG","2019-07-29_Dahlbrebukta (5))")</f>
        <v>2019-07-29_Dahlbrebukta (5))</v>
      </c>
      <c r="S184" s="78">
        <v>1</v>
      </c>
      <c r="T184" s="79">
        <v>32</v>
      </c>
      <c r="U184" s="39" t="s">
        <v>31</v>
      </c>
      <c r="V184" s="37" t="s">
        <v>36</v>
      </c>
      <c r="W184" s="40">
        <v>43675</v>
      </c>
      <c r="X184" s="80">
        <v>0.77361111111111114</v>
      </c>
    </row>
    <row r="185" spans="1:24" x14ac:dyDescent="0.25">
      <c r="A185" s="131" t="s">
        <v>466</v>
      </c>
      <c r="B185" s="133" t="s">
        <v>488</v>
      </c>
      <c r="C185" s="135">
        <v>100</v>
      </c>
      <c r="D185" s="131">
        <v>2</v>
      </c>
      <c r="E185" s="133">
        <v>1</v>
      </c>
      <c r="F185" s="135" t="s">
        <v>489</v>
      </c>
      <c r="G185" s="131">
        <v>67</v>
      </c>
      <c r="H185" s="133">
        <v>3</v>
      </c>
      <c r="I185" s="133">
        <v>135</v>
      </c>
      <c r="J185" s="133">
        <v>105</v>
      </c>
      <c r="K185" s="135">
        <v>174</v>
      </c>
      <c r="L185" s="131" t="s">
        <v>26</v>
      </c>
      <c r="M185" s="135" t="s">
        <v>59</v>
      </c>
      <c r="N185" s="131">
        <v>130</v>
      </c>
      <c r="O185" s="133" t="s">
        <v>490</v>
      </c>
      <c r="P185" s="162" t="s">
        <v>491</v>
      </c>
      <c r="Q185" s="162" t="s">
        <v>492</v>
      </c>
      <c r="R185" s="77" t="str">
        <f>HYPERLINK("https://old.iopan.pl/projects/Adamant/Macroplastic-2019/2019-07-29_Dahlbrebukta (7).JPG","2019-07-29_Dahlbrebukta (7))")</f>
        <v>2019-07-29_Dahlbrebukta (7))</v>
      </c>
      <c r="S185" s="78">
        <v>1</v>
      </c>
      <c r="T185" s="79">
        <v>33</v>
      </c>
      <c r="U185" s="39" t="s">
        <v>31</v>
      </c>
      <c r="V185" s="37" t="s">
        <v>36</v>
      </c>
      <c r="W185" s="40">
        <v>43675</v>
      </c>
      <c r="X185" s="80">
        <v>0.77847222222222223</v>
      </c>
    </row>
    <row r="186" spans="1:24" x14ac:dyDescent="0.25">
      <c r="A186" s="131"/>
      <c r="B186" s="133"/>
      <c r="C186" s="135"/>
      <c r="D186" s="131"/>
      <c r="E186" s="133"/>
      <c r="F186" s="135"/>
      <c r="G186" s="131"/>
      <c r="H186" s="133"/>
      <c r="I186" s="133"/>
      <c r="J186" s="133"/>
      <c r="K186" s="135"/>
      <c r="L186" s="131"/>
      <c r="M186" s="135"/>
      <c r="N186" s="131"/>
      <c r="O186" s="133"/>
      <c r="P186" s="162"/>
      <c r="Q186" s="162"/>
      <c r="R186" s="77" t="str">
        <f>HYPERLINK("https://old.iopan.pl/projects/Adamant/Macroplastic-2019/2019-07-29_Dahlbrebukta (8).JPG","2019-07-29_Dahlbrebukta (8))")</f>
        <v>2019-07-29_Dahlbrebukta (8))</v>
      </c>
      <c r="S186" s="78">
        <v>1</v>
      </c>
      <c r="T186" s="79">
        <v>33</v>
      </c>
      <c r="U186" s="39" t="s">
        <v>31</v>
      </c>
      <c r="V186" s="37" t="s">
        <v>36</v>
      </c>
      <c r="W186" s="40">
        <v>43675</v>
      </c>
      <c r="X186" s="80">
        <v>0.78194444444444444</v>
      </c>
    </row>
    <row r="187" spans="1:24" x14ac:dyDescent="0.25">
      <c r="A187" s="11" t="s">
        <v>466</v>
      </c>
      <c r="B187" s="12" t="s">
        <v>493</v>
      </c>
      <c r="C187" s="13">
        <v>100</v>
      </c>
      <c r="D187" s="11">
        <v>1</v>
      </c>
      <c r="E187" s="12">
        <v>1</v>
      </c>
      <c r="F187" s="13">
        <v>31</v>
      </c>
      <c r="G187" s="11">
        <v>67</v>
      </c>
      <c r="H187" s="12">
        <v>3</v>
      </c>
      <c r="I187" s="12">
        <v>135</v>
      </c>
      <c r="J187" s="12">
        <v>105</v>
      </c>
      <c r="K187" s="13">
        <v>174</v>
      </c>
      <c r="L187" s="11" t="s">
        <v>26</v>
      </c>
      <c r="M187" s="13" t="s">
        <v>27</v>
      </c>
      <c r="N187" s="11">
        <v>131</v>
      </c>
      <c r="O187" s="12" t="s">
        <v>494</v>
      </c>
      <c r="P187" s="106" t="s">
        <v>491</v>
      </c>
      <c r="Q187" s="106" t="s">
        <v>495</v>
      </c>
      <c r="R187" s="77" t="str">
        <f>HYPERLINK("https://old.iopan.pl/projects/Adamant/Macroplastic-2019/2019-07-29_Dahlbrebukta (9).JPG","2019-07-29_Dahlbrebukta (9))")</f>
        <v>2019-07-29_Dahlbrebukta (9))</v>
      </c>
      <c r="S187" s="78">
        <v>1</v>
      </c>
      <c r="T187" s="79">
        <v>31</v>
      </c>
      <c r="U187" s="39" t="s">
        <v>31</v>
      </c>
      <c r="V187" s="37" t="s">
        <v>36</v>
      </c>
      <c r="W187" s="40">
        <v>43675</v>
      </c>
      <c r="X187" s="80">
        <v>0.78541666666666676</v>
      </c>
    </row>
    <row r="188" spans="1:24" x14ac:dyDescent="0.25">
      <c r="A188" s="11" t="s">
        <v>466</v>
      </c>
      <c r="B188" s="12" t="s">
        <v>496</v>
      </c>
      <c r="C188" s="13">
        <v>100</v>
      </c>
      <c r="D188" s="11">
        <v>0</v>
      </c>
      <c r="E188" s="12">
        <v>0</v>
      </c>
      <c r="F188" s="13" t="s">
        <v>31</v>
      </c>
      <c r="G188" s="11">
        <v>67</v>
      </c>
      <c r="H188" s="12">
        <v>3</v>
      </c>
      <c r="I188" s="12">
        <v>135</v>
      </c>
      <c r="J188" s="12">
        <v>105</v>
      </c>
      <c r="K188" s="13">
        <v>174</v>
      </c>
      <c r="L188" s="11" t="s">
        <v>26</v>
      </c>
      <c r="M188" s="13" t="s">
        <v>27</v>
      </c>
      <c r="N188" s="11" t="s">
        <v>31</v>
      </c>
      <c r="O188" s="12" t="s">
        <v>31</v>
      </c>
      <c r="P188" s="107" t="s">
        <v>31</v>
      </c>
      <c r="Q188" s="107" t="s">
        <v>31</v>
      </c>
      <c r="R188" s="13" t="s">
        <v>31</v>
      </c>
      <c r="S188" s="11" t="s">
        <v>31</v>
      </c>
      <c r="T188" s="56" t="s">
        <v>31</v>
      </c>
      <c r="U188" s="39" t="s">
        <v>31</v>
      </c>
      <c r="V188" s="37" t="s">
        <v>45</v>
      </c>
      <c r="W188" s="40">
        <v>43675</v>
      </c>
      <c r="X188" s="39" t="s">
        <v>31</v>
      </c>
    </row>
    <row r="189" spans="1:24" x14ac:dyDescent="0.25">
      <c r="A189" s="11" t="s">
        <v>466</v>
      </c>
      <c r="B189" s="12" t="s">
        <v>497</v>
      </c>
      <c r="C189" s="13">
        <v>100</v>
      </c>
      <c r="D189" s="11">
        <v>0</v>
      </c>
      <c r="E189" s="12">
        <v>0</v>
      </c>
      <c r="F189" s="13" t="s">
        <v>31</v>
      </c>
      <c r="G189" s="11">
        <v>67</v>
      </c>
      <c r="H189" s="12">
        <v>3</v>
      </c>
      <c r="I189" s="12">
        <v>135</v>
      </c>
      <c r="J189" s="12">
        <v>105</v>
      </c>
      <c r="K189" s="13">
        <v>174</v>
      </c>
      <c r="L189" s="11" t="s">
        <v>26</v>
      </c>
      <c r="M189" s="13" t="s">
        <v>27</v>
      </c>
      <c r="N189" s="11" t="s">
        <v>31</v>
      </c>
      <c r="O189" s="12" t="s">
        <v>31</v>
      </c>
      <c r="P189" s="107" t="s">
        <v>31</v>
      </c>
      <c r="Q189" s="107" t="s">
        <v>31</v>
      </c>
      <c r="R189" s="13" t="s">
        <v>31</v>
      </c>
      <c r="S189" s="11" t="s">
        <v>31</v>
      </c>
      <c r="T189" s="56" t="s">
        <v>31</v>
      </c>
      <c r="U189" s="39" t="s">
        <v>31</v>
      </c>
      <c r="V189" s="37" t="s">
        <v>45</v>
      </c>
      <c r="W189" s="40">
        <v>43675</v>
      </c>
      <c r="X189" s="39" t="s">
        <v>31</v>
      </c>
    </row>
    <row r="190" spans="1:24" x14ac:dyDescent="0.25">
      <c r="A190" s="8" t="s">
        <v>466</v>
      </c>
      <c r="B190" s="9" t="s">
        <v>498</v>
      </c>
      <c r="C190" s="10">
        <v>70</v>
      </c>
      <c r="D190" s="8">
        <v>0</v>
      </c>
      <c r="E190" s="9">
        <v>0</v>
      </c>
      <c r="F190" s="10" t="s">
        <v>31</v>
      </c>
      <c r="G190" s="8">
        <v>67</v>
      </c>
      <c r="H190" s="9">
        <v>3</v>
      </c>
      <c r="I190" s="9">
        <v>135</v>
      </c>
      <c r="J190" s="9">
        <v>105</v>
      </c>
      <c r="K190" s="10">
        <v>174</v>
      </c>
      <c r="L190" s="8" t="s">
        <v>26</v>
      </c>
      <c r="M190" s="10" t="s">
        <v>27</v>
      </c>
      <c r="N190" s="8">
        <v>132</v>
      </c>
      <c r="O190" s="9" t="s">
        <v>499</v>
      </c>
      <c r="P190" s="108" t="s">
        <v>500</v>
      </c>
      <c r="Q190" s="108" t="s">
        <v>501</v>
      </c>
      <c r="R190" s="81" t="str">
        <f>HYPERLINK("https://old.iopan.pl/projects/Adamant/Macroplastic-2019/2019-07-29_Dahlbrebukta (10).JPG","2019-07-29_Dahlbrebukta (10))")</f>
        <v>2019-07-29_Dahlbrebukta (10))</v>
      </c>
      <c r="S190" s="82">
        <v>0</v>
      </c>
      <c r="T190" s="83" t="s">
        <v>31</v>
      </c>
      <c r="U190" s="42" t="s">
        <v>31</v>
      </c>
      <c r="V190" s="46" t="s">
        <v>56</v>
      </c>
      <c r="W190" s="49">
        <v>43675</v>
      </c>
      <c r="X190" s="84">
        <v>0.79513888888888884</v>
      </c>
    </row>
    <row r="191" spans="1:24" x14ac:dyDescent="0.25">
      <c r="A191" s="130" t="s">
        <v>502</v>
      </c>
      <c r="B191" s="132" t="s">
        <v>503</v>
      </c>
      <c r="C191" s="134">
        <v>100</v>
      </c>
      <c r="D191" s="130">
        <v>1</v>
      </c>
      <c r="E191" s="132">
        <v>1</v>
      </c>
      <c r="F191" s="134">
        <v>15</v>
      </c>
      <c r="G191" s="130">
        <v>36</v>
      </c>
      <c r="H191" s="132">
        <v>1</v>
      </c>
      <c r="I191" s="132">
        <v>47</v>
      </c>
      <c r="J191" s="132">
        <v>25</v>
      </c>
      <c r="K191" s="134">
        <v>95</v>
      </c>
      <c r="L191" s="130" t="s">
        <v>90</v>
      </c>
      <c r="M191" s="148" t="s">
        <v>27</v>
      </c>
      <c r="N191" s="85">
        <v>133</v>
      </c>
      <c r="O191" s="86" t="s">
        <v>504</v>
      </c>
      <c r="P191" s="112" t="s">
        <v>505</v>
      </c>
      <c r="Q191" s="112" t="s">
        <v>506</v>
      </c>
      <c r="R191" s="73" t="str">
        <f>HYPERLINK("https://old.iopan.pl/projects/Adamant/Macroplastic-2019/2019-07-30_Trygghamna (1).JPG","2019-07-30_Trygghamna (1))")</f>
        <v>2019-07-30_Trygghamna (1))</v>
      </c>
      <c r="S191" s="15">
        <v>0</v>
      </c>
      <c r="T191" s="53" t="s">
        <v>31</v>
      </c>
      <c r="U191" s="51" t="s">
        <v>31</v>
      </c>
      <c r="V191" s="52" t="s">
        <v>32</v>
      </c>
      <c r="W191" s="54">
        <v>43676</v>
      </c>
      <c r="X191" s="76">
        <v>0.6645833333333333</v>
      </c>
    </row>
    <row r="192" spans="1:24" x14ac:dyDescent="0.25">
      <c r="A192" s="131"/>
      <c r="B192" s="133"/>
      <c r="C192" s="135"/>
      <c r="D192" s="131"/>
      <c r="E192" s="133"/>
      <c r="F192" s="135"/>
      <c r="G192" s="131"/>
      <c r="H192" s="133"/>
      <c r="I192" s="133"/>
      <c r="J192" s="133"/>
      <c r="K192" s="135"/>
      <c r="L192" s="131"/>
      <c r="M192" s="149"/>
      <c r="N192" s="87">
        <v>134</v>
      </c>
      <c r="O192" s="88" t="s">
        <v>507</v>
      </c>
      <c r="P192" s="113" t="s">
        <v>508</v>
      </c>
      <c r="Q192" s="113" t="s">
        <v>509</v>
      </c>
      <c r="R192" s="77" t="str">
        <f>HYPERLINK("https://old.iopan.pl/projects/Adamant/Macroplastic-2019/2019-07-30_Trygghamna (2).JPG","2019-07-30_Trygghamna (2))")</f>
        <v>2019-07-30_Trygghamna (2))</v>
      </c>
      <c r="S192" s="11">
        <v>1</v>
      </c>
      <c r="T192" s="56">
        <v>15</v>
      </c>
      <c r="U192" s="39" t="s">
        <v>31</v>
      </c>
      <c r="V192" s="37" t="s">
        <v>36</v>
      </c>
      <c r="W192" s="40">
        <v>43676</v>
      </c>
      <c r="X192" s="80">
        <v>0.66736111111111107</v>
      </c>
    </row>
    <row r="193" spans="1:24" x14ac:dyDescent="0.25">
      <c r="A193" s="11" t="s">
        <v>502</v>
      </c>
      <c r="B193" s="12" t="s">
        <v>510</v>
      </c>
      <c r="C193" s="13">
        <v>100</v>
      </c>
      <c r="D193" s="11">
        <v>0</v>
      </c>
      <c r="E193" s="12">
        <v>0</v>
      </c>
      <c r="F193" s="13" t="s">
        <v>31</v>
      </c>
      <c r="G193" s="11">
        <v>36</v>
      </c>
      <c r="H193" s="12">
        <v>1</v>
      </c>
      <c r="I193" s="12">
        <v>47</v>
      </c>
      <c r="J193" s="12">
        <v>25</v>
      </c>
      <c r="K193" s="13">
        <v>95</v>
      </c>
      <c r="L193" s="11" t="s">
        <v>90</v>
      </c>
      <c r="M193" s="39" t="s">
        <v>27</v>
      </c>
      <c r="N193" s="37" t="s">
        <v>31</v>
      </c>
      <c r="O193" s="12" t="s">
        <v>31</v>
      </c>
      <c r="P193" s="107" t="s">
        <v>31</v>
      </c>
      <c r="Q193" s="107" t="s">
        <v>31</v>
      </c>
      <c r="R193" s="13" t="s">
        <v>31</v>
      </c>
      <c r="S193" s="11" t="s">
        <v>31</v>
      </c>
      <c r="T193" s="56" t="s">
        <v>31</v>
      </c>
      <c r="U193" s="39" t="s">
        <v>31</v>
      </c>
      <c r="V193" s="37" t="s">
        <v>45</v>
      </c>
      <c r="W193" s="40">
        <v>43676</v>
      </c>
      <c r="X193" s="39" t="s">
        <v>31</v>
      </c>
    </row>
    <row r="194" spans="1:24" x14ac:dyDescent="0.25">
      <c r="A194" s="11" t="s">
        <v>502</v>
      </c>
      <c r="B194" s="12" t="s">
        <v>511</v>
      </c>
      <c r="C194" s="13">
        <v>100</v>
      </c>
      <c r="D194" s="11">
        <v>0</v>
      </c>
      <c r="E194" s="12">
        <v>0</v>
      </c>
      <c r="F194" s="13" t="s">
        <v>31</v>
      </c>
      <c r="G194" s="11">
        <v>36</v>
      </c>
      <c r="H194" s="12">
        <v>1</v>
      </c>
      <c r="I194" s="12">
        <v>47</v>
      </c>
      <c r="J194" s="12">
        <v>25</v>
      </c>
      <c r="K194" s="13">
        <v>95</v>
      </c>
      <c r="L194" s="11" t="s">
        <v>90</v>
      </c>
      <c r="M194" s="39" t="s">
        <v>27</v>
      </c>
      <c r="N194" s="87" t="s">
        <v>31</v>
      </c>
      <c r="O194" s="18" t="s">
        <v>31</v>
      </c>
      <c r="P194" s="114" t="s">
        <v>31</v>
      </c>
      <c r="Q194" s="114" t="s">
        <v>31</v>
      </c>
      <c r="R194" s="19" t="s">
        <v>31</v>
      </c>
      <c r="S194" s="20" t="s">
        <v>31</v>
      </c>
      <c r="T194" s="89" t="s">
        <v>31</v>
      </c>
      <c r="U194" s="90" t="s">
        <v>31</v>
      </c>
      <c r="V194" s="37" t="s">
        <v>45</v>
      </c>
      <c r="W194" s="40">
        <v>43676</v>
      </c>
      <c r="X194" s="90" t="s">
        <v>31</v>
      </c>
    </row>
    <row r="195" spans="1:24" x14ac:dyDescent="0.25">
      <c r="A195" s="11" t="s">
        <v>502</v>
      </c>
      <c r="B195" s="12" t="s">
        <v>512</v>
      </c>
      <c r="C195" s="13">
        <v>100</v>
      </c>
      <c r="D195" s="11">
        <v>0</v>
      </c>
      <c r="E195" s="12">
        <v>0</v>
      </c>
      <c r="F195" s="13" t="s">
        <v>31</v>
      </c>
      <c r="G195" s="11">
        <v>36</v>
      </c>
      <c r="H195" s="12">
        <v>1</v>
      </c>
      <c r="I195" s="12">
        <v>47</v>
      </c>
      <c r="J195" s="12">
        <v>25</v>
      </c>
      <c r="K195" s="13">
        <v>95</v>
      </c>
      <c r="L195" s="11" t="s">
        <v>90</v>
      </c>
      <c r="M195" s="39" t="s">
        <v>27</v>
      </c>
      <c r="N195" s="87" t="s">
        <v>31</v>
      </c>
      <c r="O195" s="18" t="s">
        <v>31</v>
      </c>
      <c r="P195" s="114" t="s">
        <v>31</v>
      </c>
      <c r="Q195" s="114" t="s">
        <v>31</v>
      </c>
      <c r="R195" s="19" t="s">
        <v>31</v>
      </c>
      <c r="S195" s="20" t="s">
        <v>31</v>
      </c>
      <c r="T195" s="89" t="s">
        <v>31</v>
      </c>
      <c r="U195" s="90" t="s">
        <v>31</v>
      </c>
      <c r="V195" s="37" t="s">
        <v>45</v>
      </c>
      <c r="W195" s="40">
        <v>43676</v>
      </c>
      <c r="X195" s="90" t="s">
        <v>31</v>
      </c>
    </row>
    <row r="196" spans="1:24" x14ac:dyDescent="0.25">
      <c r="A196" s="11" t="s">
        <v>502</v>
      </c>
      <c r="B196" s="12" t="s">
        <v>513</v>
      </c>
      <c r="C196" s="13">
        <v>100</v>
      </c>
      <c r="D196" s="11">
        <v>0</v>
      </c>
      <c r="E196" s="12">
        <v>0</v>
      </c>
      <c r="F196" s="13" t="s">
        <v>31</v>
      </c>
      <c r="G196" s="11">
        <v>36</v>
      </c>
      <c r="H196" s="12">
        <v>1</v>
      </c>
      <c r="I196" s="12">
        <v>47</v>
      </c>
      <c r="J196" s="12">
        <v>25</v>
      </c>
      <c r="K196" s="13">
        <v>95</v>
      </c>
      <c r="L196" s="11" t="s">
        <v>90</v>
      </c>
      <c r="M196" s="39" t="s">
        <v>59</v>
      </c>
      <c r="N196" s="87" t="s">
        <v>31</v>
      </c>
      <c r="O196" s="18" t="s">
        <v>31</v>
      </c>
      <c r="P196" s="114" t="s">
        <v>31</v>
      </c>
      <c r="Q196" s="114" t="s">
        <v>31</v>
      </c>
      <c r="R196" s="19" t="s">
        <v>31</v>
      </c>
      <c r="S196" s="20" t="s">
        <v>31</v>
      </c>
      <c r="T196" s="89" t="s">
        <v>31</v>
      </c>
      <c r="U196" s="90" t="s">
        <v>31</v>
      </c>
      <c r="V196" s="37" t="s">
        <v>45</v>
      </c>
      <c r="W196" s="40">
        <v>43676</v>
      </c>
      <c r="X196" s="90" t="s">
        <v>31</v>
      </c>
    </row>
    <row r="197" spans="1:24" x14ac:dyDescent="0.25">
      <c r="A197" s="11" t="s">
        <v>502</v>
      </c>
      <c r="B197" s="12" t="s">
        <v>514</v>
      </c>
      <c r="C197" s="13">
        <v>100</v>
      </c>
      <c r="D197" s="11">
        <v>0</v>
      </c>
      <c r="E197" s="12">
        <v>0</v>
      </c>
      <c r="F197" s="13" t="s">
        <v>31</v>
      </c>
      <c r="G197" s="11">
        <v>36</v>
      </c>
      <c r="H197" s="12">
        <v>1</v>
      </c>
      <c r="I197" s="12">
        <v>47</v>
      </c>
      <c r="J197" s="12">
        <v>25</v>
      </c>
      <c r="K197" s="13">
        <v>95</v>
      </c>
      <c r="L197" s="11" t="s">
        <v>90</v>
      </c>
      <c r="M197" s="39" t="s">
        <v>87</v>
      </c>
      <c r="N197" s="87" t="s">
        <v>31</v>
      </c>
      <c r="O197" s="18" t="s">
        <v>31</v>
      </c>
      <c r="P197" s="114" t="s">
        <v>31</v>
      </c>
      <c r="Q197" s="114" t="s">
        <v>31</v>
      </c>
      <c r="R197" s="19" t="s">
        <v>31</v>
      </c>
      <c r="S197" s="20" t="s">
        <v>31</v>
      </c>
      <c r="T197" s="89" t="s">
        <v>31</v>
      </c>
      <c r="U197" s="90" t="s">
        <v>31</v>
      </c>
      <c r="V197" s="37" t="s">
        <v>45</v>
      </c>
      <c r="W197" s="40">
        <v>43676</v>
      </c>
      <c r="X197" s="90" t="s">
        <v>31</v>
      </c>
    </row>
    <row r="198" spans="1:24" x14ac:dyDescent="0.25">
      <c r="A198" s="11" t="s">
        <v>502</v>
      </c>
      <c r="B198" s="99" t="s">
        <v>515</v>
      </c>
      <c r="C198" s="100">
        <v>100</v>
      </c>
      <c r="D198" s="101">
        <v>0</v>
      </c>
      <c r="E198" s="99">
        <v>0</v>
      </c>
      <c r="F198" s="100" t="s">
        <v>31</v>
      </c>
      <c r="G198" s="11">
        <v>36</v>
      </c>
      <c r="H198" s="12">
        <v>1</v>
      </c>
      <c r="I198" s="12">
        <v>47</v>
      </c>
      <c r="J198" s="12">
        <v>25</v>
      </c>
      <c r="K198" s="13">
        <v>95</v>
      </c>
      <c r="L198" s="11" t="s">
        <v>90</v>
      </c>
      <c r="M198" s="39" t="s">
        <v>27</v>
      </c>
      <c r="N198" s="87" t="s">
        <v>31</v>
      </c>
      <c r="O198" s="18" t="s">
        <v>31</v>
      </c>
      <c r="P198" s="114" t="s">
        <v>31</v>
      </c>
      <c r="Q198" s="114" t="s">
        <v>31</v>
      </c>
      <c r="R198" s="19" t="s">
        <v>31</v>
      </c>
      <c r="S198" s="20" t="s">
        <v>31</v>
      </c>
      <c r="T198" s="89" t="s">
        <v>31</v>
      </c>
      <c r="U198" s="90" t="s">
        <v>31</v>
      </c>
      <c r="V198" s="37" t="s">
        <v>45</v>
      </c>
      <c r="W198" s="40">
        <v>43676</v>
      </c>
      <c r="X198" s="90" t="s">
        <v>31</v>
      </c>
    </row>
    <row r="199" spans="1:24" x14ac:dyDescent="0.25">
      <c r="A199" s="11" t="s">
        <v>502</v>
      </c>
      <c r="B199" s="99" t="s">
        <v>516</v>
      </c>
      <c r="C199" s="100">
        <v>100</v>
      </c>
      <c r="D199" s="101">
        <v>0</v>
      </c>
      <c r="E199" s="99">
        <v>0</v>
      </c>
      <c r="F199" s="100" t="s">
        <v>31</v>
      </c>
      <c r="G199" s="11">
        <v>36</v>
      </c>
      <c r="H199" s="12">
        <v>1</v>
      </c>
      <c r="I199" s="12">
        <v>47</v>
      </c>
      <c r="J199" s="12">
        <v>25</v>
      </c>
      <c r="K199" s="13">
        <v>95</v>
      </c>
      <c r="L199" s="11" t="s">
        <v>90</v>
      </c>
      <c r="M199" s="39" t="s">
        <v>27</v>
      </c>
      <c r="N199" s="87" t="s">
        <v>31</v>
      </c>
      <c r="O199" s="18" t="s">
        <v>31</v>
      </c>
      <c r="P199" s="114" t="s">
        <v>31</v>
      </c>
      <c r="Q199" s="114" t="s">
        <v>31</v>
      </c>
      <c r="R199" s="19" t="s">
        <v>31</v>
      </c>
      <c r="S199" s="20" t="s">
        <v>31</v>
      </c>
      <c r="T199" s="89" t="s">
        <v>31</v>
      </c>
      <c r="U199" s="90" t="s">
        <v>31</v>
      </c>
      <c r="V199" s="37" t="s">
        <v>45</v>
      </c>
      <c r="W199" s="40">
        <v>43676</v>
      </c>
      <c r="X199" s="90" t="s">
        <v>31</v>
      </c>
    </row>
    <row r="200" spans="1:24" x14ac:dyDescent="0.25">
      <c r="A200" s="11" t="s">
        <v>502</v>
      </c>
      <c r="B200" s="99" t="s">
        <v>517</v>
      </c>
      <c r="C200" s="100">
        <v>100</v>
      </c>
      <c r="D200" s="101">
        <v>0</v>
      </c>
      <c r="E200" s="99">
        <v>0</v>
      </c>
      <c r="F200" s="100" t="s">
        <v>31</v>
      </c>
      <c r="G200" s="11">
        <v>36</v>
      </c>
      <c r="H200" s="12">
        <v>1</v>
      </c>
      <c r="I200" s="12">
        <v>47</v>
      </c>
      <c r="J200" s="12">
        <v>25</v>
      </c>
      <c r="K200" s="13">
        <v>95</v>
      </c>
      <c r="L200" s="11" t="s">
        <v>26</v>
      </c>
      <c r="M200" s="39" t="s">
        <v>27</v>
      </c>
      <c r="N200" s="87" t="s">
        <v>31</v>
      </c>
      <c r="O200" s="18" t="s">
        <v>31</v>
      </c>
      <c r="P200" s="114" t="s">
        <v>31</v>
      </c>
      <c r="Q200" s="114" t="s">
        <v>31</v>
      </c>
      <c r="R200" s="19" t="s">
        <v>31</v>
      </c>
      <c r="S200" s="20" t="s">
        <v>31</v>
      </c>
      <c r="T200" s="89" t="s">
        <v>31</v>
      </c>
      <c r="U200" s="90" t="s">
        <v>31</v>
      </c>
      <c r="V200" s="37" t="s">
        <v>45</v>
      </c>
      <c r="W200" s="40">
        <v>43676</v>
      </c>
      <c r="X200" s="90" t="s">
        <v>31</v>
      </c>
    </row>
    <row r="201" spans="1:24" x14ac:dyDescent="0.25">
      <c r="A201" s="11" t="s">
        <v>502</v>
      </c>
      <c r="B201" s="99" t="s">
        <v>518</v>
      </c>
      <c r="C201" s="100">
        <v>100</v>
      </c>
      <c r="D201" s="101">
        <v>0</v>
      </c>
      <c r="E201" s="99">
        <v>0</v>
      </c>
      <c r="F201" s="100" t="s">
        <v>31</v>
      </c>
      <c r="G201" s="11">
        <v>36</v>
      </c>
      <c r="H201" s="12">
        <v>1</v>
      </c>
      <c r="I201" s="12">
        <v>47</v>
      </c>
      <c r="J201" s="12">
        <v>25</v>
      </c>
      <c r="K201" s="13">
        <v>95</v>
      </c>
      <c r="L201" s="11" t="s">
        <v>26</v>
      </c>
      <c r="M201" s="39" t="s">
        <v>87</v>
      </c>
      <c r="N201" s="87" t="s">
        <v>31</v>
      </c>
      <c r="O201" s="18" t="s">
        <v>31</v>
      </c>
      <c r="P201" s="114" t="s">
        <v>31</v>
      </c>
      <c r="Q201" s="114" t="s">
        <v>31</v>
      </c>
      <c r="R201" s="19" t="s">
        <v>31</v>
      </c>
      <c r="S201" s="20" t="s">
        <v>31</v>
      </c>
      <c r="T201" s="89" t="s">
        <v>31</v>
      </c>
      <c r="U201" s="90" t="s">
        <v>31</v>
      </c>
      <c r="V201" s="37" t="s">
        <v>45</v>
      </c>
      <c r="W201" s="40">
        <v>43676</v>
      </c>
      <c r="X201" s="90" t="s">
        <v>31</v>
      </c>
    </row>
    <row r="202" spans="1:24" x14ac:dyDescent="0.25">
      <c r="A202" s="11" t="s">
        <v>502</v>
      </c>
      <c r="B202" s="99" t="s">
        <v>519</v>
      </c>
      <c r="C202" s="100">
        <v>100</v>
      </c>
      <c r="D202" s="101">
        <v>0</v>
      </c>
      <c r="E202" s="99">
        <v>0</v>
      </c>
      <c r="F202" s="100" t="s">
        <v>31</v>
      </c>
      <c r="G202" s="11">
        <v>36</v>
      </c>
      <c r="H202" s="12">
        <v>1</v>
      </c>
      <c r="I202" s="12">
        <v>47</v>
      </c>
      <c r="J202" s="12">
        <v>25</v>
      </c>
      <c r="K202" s="13">
        <v>95</v>
      </c>
      <c r="L202" s="11" t="s">
        <v>26</v>
      </c>
      <c r="M202" s="39" t="s">
        <v>87</v>
      </c>
      <c r="N202" s="87" t="s">
        <v>31</v>
      </c>
      <c r="O202" s="18" t="s">
        <v>31</v>
      </c>
      <c r="P202" s="114" t="s">
        <v>31</v>
      </c>
      <c r="Q202" s="114" t="s">
        <v>31</v>
      </c>
      <c r="R202" s="19" t="s">
        <v>31</v>
      </c>
      <c r="S202" s="20" t="s">
        <v>31</v>
      </c>
      <c r="T202" s="89" t="s">
        <v>31</v>
      </c>
      <c r="U202" s="90" t="s">
        <v>31</v>
      </c>
      <c r="V202" s="37" t="s">
        <v>45</v>
      </c>
      <c r="W202" s="40">
        <v>43676</v>
      </c>
      <c r="X202" s="90" t="s">
        <v>31</v>
      </c>
    </row>
    <row r="203" spans="1:24" x14ac:dyDescent="0.25">
      <c r="A203" s="11" t="s">
        <v>502</v>
      </c>
      <c r="B203" s="99" t="s">
        <v>520</v>
      </c>
      <c r="C203" s="100">
        <v>100</v>
      </c>
      <c r="D203" s="101">
        <v>0</v>
      </c>
      <c r="E203" s="99">
        <v>0</v>
      </c>
      <c r="F203" s="100" t="s">
        <v>31</v>
      </c>
      <c r="G203" s="11">
        <v>36</v>
      </c>
      <c r="H203" s="12">
        <v>1</v>
      </c>
      <c r="I203" s="12">
        <v>47</v>
      </c>
      <c r="J203" s="12">
        <v>25</v>
      </c>
      <c r="K203" s="13">
        <v>95</v>
      </c>
      <c r="L203" s="11" t="s">
        <v>26</v>
      </c>
      <c r="M203" s="39" t="s">
        <v>27</v>
      </c>
      <c r="N203" s="87" t="s">
        <v>31</v>
      </c>
      <c r="O203" s="18" t="s">
        <v>31</v>
      </c>
      <c r="P203" s="114" t="s">
        <v>31</v>
      </c>
      <c r="Q203" s="114" t="s">
        <v>31</v>
      </c>
      <c r="R203" s="19" t="s">
        <v>31</v>
      </c>
      <c r="S203" s="20" t="s">
        <v>31</v>
      </c>
      <c r="T203" s="89" t="s">
        <v>31</v>
      </c>
      <c r="U203" s="90" t="s">
        <v>31</v>
      </c>
      <c r="V203" s="37" t="s">
        <v>45</v>
      </c>
      <c r="W203" s="40">
        <v>43676</v>
      </c>
      <c r="X203" s="90" t="s">
        <v>31</v>
      </c>
    </row>
    <row r="204" spans="1:24" x14ac:dyDescent="0.25">
      <c r="A204" s="11" t="s">
        <v>502</v>
      </c>
      <c r="B204" s="99" t="s">
        <v>521</v>
      </c>
      <c r="C204" s="100">
        <v>100</v>
      </c>
      <c r="D204" s="101">
        <v>0</v>
      </c>
      <c r="E204" s="99">
        <v>0</v>
      </c>
      <c r="F204" s="100" t="s">
        <v>31</v>
      </c>
      <c r="G204" s="11">
        <v>36</v>
      </c>
      <c r="H204" s="12">
        <v>1</v>
      </c>
      <c r="I204" s="12">
        <v>47</v>
      </c>
      <c r="J204" s="12">
        <v>25</v>
      </c>
      <c r="K204" s="13">
        <v>95</v>
      </c>
      <c r="L204" s="11" t="s">
        <v>26</v>
      </c>
      <c r="M204" s="39" t="s">
        <v>59</v>
      </c>
      <c r="N204" s="87" t="s">
        <v>31</v>
      </c>
      <c r="O204" s="18" t="s">
        <v>31</v>
      </c>
      <c r="P204" s="114" t="s">
        <v>31</v>
      </c>
      <c r="Q204" s="114" t="s">
        <v>31</v>
      </c>
      <c r="R204" s="19" t="s">
        <v>31</v>
      </c>
      <c r="S204" s="20" t="s">
        <v>31</v>
      </c>
      <c r="T204" s="89" t="s">
        <v>31</v>
      </c>
      <c r="U204" s="90" t="s">
        <v>31</v>
      </c>
      <c r="V204" s="37" t="s">
        <v>45</v>
      </c>
      <c r="W204" s="40">
        <v>43676</v>
      </c>
      <c r="X204" s="90" t="s">
        <v>31</v>
      </c>
    </row>
    <row r="205" spans="1:24" x14ac:dyDescent="0.25">
      <c r="A205" s="11" t="s">
        <v>502</v>
      </c>
      <c r="B205" s="99" t="s">
        <v>522</v>
      </c>
      <c r="C205" s="100">
        <v>100</v>
      </c>
      <c r="D205" s="101">
        <v>0</v>
      </c>
      <c r="E205" s="99">
        <v>0</v>
      </c>
      <c r="F205" s="100" t="s">
        <v>31</v>
      </c>
      <c r="G205" s="11">
        <v>36</v>
      </c>
      <c r="H205" s="12">
        <v>1</v>
      </c>
      <c r="I205" s="12">
        <v>47</v>
      </c>
      <c r="J205" s="12">
        <v>25</v>
      </c>
      <c r="K205" s="13">
        <v>95</v>
      </c>
      <c r="L205" s="11" t="s">
        <v>26</v>
      </c>
      <c r="M205" s="39" t="s">
        <v>87</v>
      </c>
      <c r="N205" s="87" t="s">
        <v>31</v>
      </c>
      <c r="O205" s="18" t="s">
        <v>31</v>
      </c>
      <c r="P205" s="114" t="s">
        <v>31</v>
      </c>
      <c r="Q205" s="114" t="s">
        <v>31</v>
      </c>
      <c r="R205" s="19" t="s">
        <v>31</v>
      </c>
      <c r="S205" s="20" t="s">
        <v>31</v>
      </c>
      <c r="T205" s="89" t="s">
        <v>31</v>
      </c>
      <c r="U205" s="90" t="s">
        <v>31</v>
      </c>
      <c r="V205" s="37" t="s">
        <v>45</v>
      </c>
      <c r="W205" s="40">
        <v>43676</v>
      </c>
      <c r="X205" s="90" t="s">
        <v>31</v>
      </c>
    </row>
    <row r="206" spans="1:24" x14ac:dyDescent="0.25">
      <c r="A206" s="11" t="s">
        <v>502</v>
      </c>
      <c r="B206" s="99" t="s">
        <v>523</v>
      </c>
      <c r="C206" s="100">
        <v>100</v>
      </c>
      <c r="D206" s="101">
        <v>0</v>
      </c>
      <c r="E206" s="99">
        <v>0</v>
      </c>
      <c r="F206" s="100" t="s">
        <v>31</v>
      </c>
      <c r="G206" s="11">
        <v>36</v>
      </c>
      <c r="H206" s="12">
        <v>1</v>
      </c>
      <c r="I206" s="12">
        <v>47</v>
      </c>
      <c r="J206" s="12">
        <v>25</v>
      </c>
      <c r="K206" s="13">
        <v>95</v>
      </c>
      <c r="L206" s="11" t="s">
        <v>26</v>
      </c>
      <c r="M206" s="39" t="s">
        <v>59</v>
      </c>
      <c r="N206" s="87" t="s">
        <v>31</v>
      </c>
      <c r="O206" s="18" t="s">
        <v>31</v>
      </c>
      <c r="P206" s="114" t="s">
        <v>31</v>
      </c>
      <c r="Q206" s="114" t="s">
        <v>31</v>
      </c>
      <c r="R206" s="19" t="s">
        <v>31</v>
      </c>
      <c r="S206" s="20" t="s">
        <v>31</v>
      </c>
      <c r="T206" s="89" t="s">
        <v>31</v>
      </c>
      <c r="U206" s="90" t="s">
        <v>31</v>
      </c>
      <c r="V206" s="37" t="s">
        <v>45</v>
      </c>
      <c r="W206" s="40">
        <v>43676</v>
      </c>
      <c r="X206" s="90" t="s">
        <v>31</v>
      </c>
    </row>
    <row r="207" spans="1:24" x14ac:dyDescent="0.25">
      <c r="A207" s="11" t="s">
        <v>502</v>
      </c>
      <c r="B207" s="99" t="s">
        <v>524</v>
      </c>
      <c r="C207" s="100">
        <v>100</v>
      </c>
      <c r="D207" s="101">
        <v>2</v>
      </c>
      <c r="E207" s="99">
        <v>2</v>
      </c>
      <c r="F207" s="100" t="s">
        <v>525</v>
      </c>
      <c r="G207" s="11">
        <v>36</v>
      </c>
      <c r="H207" s="12">
        <v>1</v>
      </c>
      <c r="I207" s="12">
        <v>47</v>
      </c>
      <c r="J207" s="12">
        <v>25</v>
      </c>
      <c r="K207" s="13">
        <v>95</v>
      </c>
      <c r="L207" s="11" t="s">
        <v>26</v>
      </c>
      <c r="M207" s="39" t="s">
        <v>27</v>
      </c>
      <c r="N207" s="87">
        <v>136</v>
      </c>
      <c r="O207" s="88" t="s">
        <v>526</v>
      </c>
      <c r="P207" s="113" t="s">
        <v>527</v>
      </c>
      <c r="Q207" s="113" t="s">
        <v>528</v>
      </c>
      <c r="R207" s="77" t="str">
        <f>HYPERLINK("https://old.iopan.pl/projects/Adamant/Macroplastic-2019/2019-07-30_Trygghamna (8).JPG","2019-07-30_Trygghamna (8))")</f>
        <v>2019-07-30_Trygghamna (8))</v>
      </c>
      <c r="S207" s="11">
        <v>2</v>
      </c>
      <c r="T207" s="56" t="s">
        <v>525</v>
      </c>
      <c r="U207" s="39" t="s">
        <v>31</v>
      </c>
      <c r="V207" s="37" t="s">
        <v>71</v>
      </c>
      <c r="W207" s="40">
        <v>43676</v>
      </c>
      <c r="X207" s="80">
        <v>0.76250000000000007</v>
      </c>
    </row>
    <row r="208" spans="1:24" x14ac:dyDescent="0.25">
      <c r="A208" s="11" t="s">
        <v>502</v>
      </c>
      <c r="B208" s="99" t="s">
        <v>529</v>
      </c>
      <c r="C208" s="100">
        <v>100</v>
      </c>
      <c r="D208" s="101">
        <v>0</v>
      </c>
      <c r="E208" s="99">
        <v>0</v>
      </c>
      <c r="F208" s="100" t="s">
        <v>31</v>
      </c>
      <c r="G208" s="11">
        <v>36</v>
      </c>
      <c r="H208" s="12">
        <v>1</v>
      </c>
      <c r="I208" s="12">
        <v>47</v>
      </c>
      <c r="J208" s="12">
        <v>25</v>
      </c>
      <c r="K208" s="13">
        <v>95</v>
      </c>
      <c r="L208" s="11" t="s">
        <v>26</v>
      </c>
      <c r="M208" s="39" t="s">
        <v>87</v>
      </c>
      <c r="N208" s="87" t="s">
        <v>31</v>
      </c>
      <c r="O208" s="18" t="s">
        <v>31</v>
      </c>
      <c r="P208" s="114" t="s">
        <v>31</v>
      </c>
      <c r="Q208" s="114" t="s">
        <v>31</v>
      </c>
      <c r="R208" s="19" t="s">
        <v>31</v>
      </c>
      <c r="S208" s="20" t="s">
        <v>31</v>
      </c>
      <c r="T208" s="89" t="s">
        <v>31</v>
      </c>
      <c r="U208" s="90" t="s">
        <v>31</v>
      </c>
      <c r="V208" s="91" t="s">
        <v>45</v>
      </c>
      <c r="W208" s="40">
        <v>43676</v>
      </c>
      <c r="X208" s="90" t="s">
        <v>31</v>
      </c>
    </row>
    <row r="209" spans="1:24" x14ac:dyDescent="0.25">
      <c r="A209" s="11" t="s">
        <v>502</v>
      </c>
      <c r="B209" s="99" t="s">
        <v>530</v>
      </c>
      <c r="C209" s="100">
        <v>100</v>
      </c>
      <c r="D209" s="101">
        <v>0</v>
      </c>
      <c r="E209" s="99">
        <v>0</v>
      </c>
      <c r="F209" s="100" t="s">
        <v>31</v>
      </c>
      <c r="G209" s="11">
        <v>36</v>
      </c>
      <c r="H209" s="12">
        <v>1</v>
      </c>
      <c r="I209" s="12">
        <v>47</v>
      </c>
      <c r="J209" s="12">
        <v>25</v>
      </c>
      <c r="K209" s="13">
        <v>95</v>
      </c>
      <c r="L209" s="11" t="s">
        <v>26</v>
      </c>
      <c r="M209" s="39" t="s">
        <v>87</v>
      </c>
      <c r="N209" s="87" t="s">
        <v>31</v>
      </c>
      <c r="O209" s="18" t="s">
        <v>31</v>
      </c>
      <c r="P209" s="114" t="s">
        <v>31</v>
      </c>
      <c r="Q209" s="114" t="s">
        <v>31</v>
      </c>
      <c r="R209" s="19" t="s">
        <v>31</v>
      </c>
      <c r="S209" s="20" t="s">
        <v>31</v>
      </c>
      <c r="T209" s="89" t="s">
        <v>31</v>
      </c>
      <c r="U209" s="90" t="s">
        <v>31</v>
      </c>
      <c r="V209" s="91" t="s">
        <v>45</v>
      </c>
      <c r="W209" s="40">
        <v>43676</v>
      </c>
      <c r="X209" s="90" t="s">
        <v>31</v>
      </c>
    </row>
    <row r="210" spans="1:24" x14ac:dyDescent="0.25">
      <c r="A210" s="21" t="s">
        <v>502</v>
      </c>
      <c r="B210" s="102" t="s">
        <v>531</v>
      </c>
      <c r="C210" s="103">
        <v>100</v>
      </c>
      <c r="D210" s="104">
        <v>1</v>
      </c>
      <c r="E210" s="102">
        <v>1</v>
      </c>
      <c r="F210" s="103">
        <v>32</v>
      </c>
      <c r="G210" s="21">
        <v>36</v>
      </c>
      <c r="H210" s="62">
        <v>1</v>
      </c>
      <c r="I210" s="62">
        <v>47</v>
      </c>
      <c r="J210" s="62">
        <v>25</v>
      </c>
      <c r="K210" s="44">
        <v>95</v>
      </c>
      <c r="L210" s="21" t="s">
        <v>26</v>
      </c>
      <c r="M210" s="45" t="s">
        <v>27</v>
      </c>
      <c r="N210" s="92">
        <v>135</v>
      </c>
      <c r="O210" s="93" t="s">
        <v>532</v>
      </c>
      <c r="P210" s="115" t="s">
        <v>533</v>
      </c>
      <c r="Q210" s="115" t="s">
        <v>534</v>
      </c>
      <c r="R210" s="94" t="str">
        <f>HYPERLINK("https://old.iopan.pl/projects/Adamant/Macroplastic-2019/2019-07-30_Trygghamna (7).JPG","2019-07-30_Trygghamna (7))")</f>
        <v>2019-07-30_Trygghamna (7))</v>
      </c>
      <c r="S210" s="21">
        <v>1</v>
      </c>
      <c r="T210" s="64">
        <v>32</v>
      </c>
      <c r="U210" s="45" t="s">
        <v>31</v>
      </c>
      <c r="V210" s="61" t="s">
        <v>36</v>
      </c>
      <c r="W210" s="65">
        <v>43676</v>
      </c>
      <c r="X210" s="95">
        <v>0.7583333333333333</v>
      </c>
    </row>
    <row r="211" spans="1:24" x14ac:dyDescent="0.25">
      <c r="B211" s="23"/>
      <c r="C211" s="23"/>
      <c r="D211" s="23"/>
      <c r="E211" s="23"/>
      <c r="F211" s="23"/>
    </row>
  </sheetData>
  <autoFilter ref="R1:R211"/>
  <mergeCells count="623">
    <mergeCell ref="K191:K192"/>
    <mergeCell ref="L191:L192"/>
    <mergeCell ref="M191:M192"/>
    <mergeCell ref="N185:N186"/>
    <mergeCell ref="O185:O186"/>
    <mergeCell ref="P185:P186"/>
    <mergeCell ref="Q185:Q186"/>
    <mergeCell ref="E191:E192"/>
    <mergeCell ref="F191:F192"/>
    <mergeCell ref="G191:G192"/>
    <mergeCell ref="H191:H192"/>
    <mergeCell ref="I191:I192"/>
    <mergeCell ref="J191:J192"/>
    <mergeCell ref="Q174:Q175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K174:K177"/>
    <mergeCell ref="L174:L177"/>
    <mergeCell ref="M174:M177"/>
    <mergeCell ref="N174:N175"/>
    <mergeCell ref="O174:O175"/>
    <mergeCell ref="P174:P175"/>
    <mergeCell ref="E174:E177"/>
    <mergeCell ref="F174:F177"/>
    <mergeCell ref="G174:G177"/>
    <mergeCell ref="H174:H177"/>
    <mergeCell ref="I174:I177"/>
    <mergeCell ref="J174:J177"/>
    <mergeCell ref="Q168:Q169"/>
    <mergeCell ref="E170:E173"/>
    <mergeCell ref="F170:F173"/>
    <mergeCell ref="G170:G173"/>
    <mergeCell ref="H170:H173"/>
    <mergeCell ref="I170:I173"/>
    <mergeCell ref="J170:J173"/>
    <mergeCell ref="K170:K173"/>
    <mergeCell ref="L170:L173"/>
    <mergeCell ref="M170:M173"/>
    <mergeCell ref="K168:K169"/>
    <mergeCell ref="L168:L169"/>
    <mergeCell ref="M168:M169"/>
    <mergeCell ref="N168:N169"/>
    <mergeCell ref="O168:O169"/>
    <mergeCell ref="P168:P169"/>
    <mergeCell ref="E168:E169"/>
    <mergeCell ref="F168:F169"/>
    <mergeCell ref="G168:G169"/>
    <mergeCell ref="H168:H169"/>
    <mergeCell ref="I168:I169"/>
    <mergeCell ref="J168:J169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K150:K154"/>
    <mergeCell ref="L150:L154"/>
    <mergeCell ref="M150:M154"/>
    <mergeCell ref="E155:E157"/>
    <mergeCell ref="F155:F157"/>
    <mergeCell ref="G155:G157"/>
    <mergeCell ref="H155:H157"/>
    <mergeCell ref="I155:I157"/>
    <mergeCell ref="J155:J157"/>
    <mergeCell ref="K155:K157"/>
    <mergeCell ref="E150:E154"/>
    <mergeCell ref="F150:F154"/>
    <mergeCell ref="G150:G154"/>
    <mergeCell ref="H150:H154"/>
    <mergeCell ref="I150:I154"/>
    <mergeCell ref="J150:J154"/>
    <mergeCell ref="L155:L157"/>
    <mergeCell ref="M155:M157"/>
    <mergeCell ref="E146:E149"/>
    <mergeCell ref="F146:F149"/>
    <mergeCell ref="G146:G149"/>
    <mergeCell ref="H146:H149"/>
    <mergeCell ref="I146:I149"/>
    <mergeCell ref="J146:J149"/>
    <mergeCell ref="K146:K149"/>
    <mergeCell ref="L146:L149"/>
    <mergeCell ref="M146:M149"/>
    <mergeCell ref="P141:P142"/>
    <mergeCell ref="Q141:Q142"/>
    <mergeCell ref="E143:E145"/>
    <mergeCell ref="F143:F145"/>
    <mergeCell ref="G143:G145"/>
    <mergeCell ref="H143:H145"/>
    <mergeCell ref="I143:I145"/>
    <mergeCell ref="J143:J145"/>
    <mergeCell ref="K143:K145"/>
    <mergeCell ref="L143:L145"/>
    <mergeCell ref="J138:J142"/>
    <mergeCell ref="K138:K142"/>
    <mergeCell ref="L138:L142"/>
    <mergeCell ref="M138:M142"/>
    <mergeCell ref="N141:N142"/>
    <mergeCell ref="O141:O142"/>
    <mergeCell ref="M143:M145"/>
    <mergeCell ref="E138:E142"/>
    <mergeCell ref="F138:F142"/>
    <mergeCell ref="G138:G142"/>
    <mergeCell ref="H138:H142"/>
    <mergeCell ref="I138:I142"/>
    <mergeCell ref="K131:K137"/>
    <mergeCell ref="L131:L137"/>
    <mergeCell ref="M131:M137"/>
    <mergeCell ref="N131:N132"/>
    <mergeCell ref="N128:N129"/>
    <mergeCell ref="O128:O129"/>
    <mergeCell ref="P128:P129"/>
    <mergeCell ref="Q128:Q129"/>
    <mergeCell ref="E131:E137"/>
    <mergeCell ref="F131:F137"/>
    <mergeCell ref="G131:G137"/>
    <mergeCell ref="H131:H137"/>
    <mergeCell ref="I131:I137"/>
    <mergeCell ref="J131:J137"/>
    <mergeCell ref="Q131:Q132"/>
    <mergeCell ref="N133:N134"/>
    <mergeCell ref="O133:O134"/>
    <mergeCell ref="P133:P134"/>
    <mergeCell ref="Q133:Q134"/>
    <mergeCell ref="O131:O132"/>
    <mergeCell ref="P131:P132"/>
    <mergeCell ref="N124:N125"/>
    <mergeCell ref="O124:O125"/>
    <mergeCell ref="N126:N127"/>
    <mergeCell ref="O126:O127"/>
    <mergeCell ref="P126:P127"/>
    <mergeCell ref="Q126:Q127"/>
    <mergeCell ref="Q120:Q121"/>
    <mergeCell ref="E122:E130"/>
    <mergeCell ref="F122:F130"/>
    <mergeCell ref="G122:G130"/>
    <mergeCell ref="H122:H130"/>
    <mergeCell ref="I122:I130"/>
    <mergeCell ref="J122:J130"/>
    <mergeCell ref="K122:K130"/>
    <mergeCell ref="L122:L130"/>
    <mergeCell ref="M122:M130"/>
    <mergeCell ref="K117:K121"/>
    <mergeCell ref="L117:L121"/>
    <mergeCell ref="M117:M121"/>
    <mergeCell ref="N120:N121"/>
    <mergeCell ref="O120:O121"/>
    <mergeCell ref="P120:P121"/>
    <mergeCell ref="E117:E121"/>
    <mergeCell ref="F117:F121"/>
    <mergeCell ref="E110:E112"/>
    <mergeCell ref="F110:F112"/>
    <mergeCell ref="G110:G112"/>
    <mergeCell ref="H110:H112"/>
    <mergeCell ref="I110:I112"/>
    <mergeCell ref="J110:J112"/>
    <mergeCell ref="K110:K112"/>
    <mergeCell ref="L110:L112"/>
    <mergeCell ref="M110:M112"/>
    <mergeCell ref="M101:M107"/>
    <mergeCell ref="N104:N105"/>
    <mergeCell ref="O104:O105"/>
    <mergeCell ref="P104:P105"/>
    <mergeCell ref="Q104:Q105"/>
    <mergeCell ref="K98:K99"/>
    <mergeCell ref="L98:L99"/>
    <mergeCell ref="M98:M99"/>
    <mergeCell ref="G117:G121"/>
    <mergeCell ref="H117:H121"/>
    <mergeCell ref="I117:I121"/>
    <mergeCell ref="J117:J121"/>
    <mergeCell ref="Q108:Q109"/>
    <mergeCell ref="K108:K109"/>
    <mergeCell ref="L108:L109"/>
    <mergeCell ref="M108:M109"/>
    <mergeCell ref="N108:N109"/>
    <mergeCell ref="O108:O109"/>
    <mergeCell ref="P108:P109"/>
    <mergeCell ref="G108:G109"/>
    <mergeCell ref="H108:H109"/>
    <mergeCell ref="E92:E97"/>
    <mergeCell ref="F92:F97"/>
    <mergeCell ref="G92:G97"/>
    <mergeCell ref="H92:H97"/>
    <mergeCell ref="I92:I97"/>
    <mergeCell ref="J92:J97"/>
    <mergeCell ref="I108:I109"/>
    <mergeCell ref="J108:J109"/>
    <mergeCell ref="L101:L107"/>
    <mergeCell ref="E108:E109"/>
    <mergeCell ref="F108:F109"/>
    <mergeCell ref="E101:E107"/>
    <mergeCell ref="F101:F107"/>
    <mergeCell ref="G101:G107"/>
    <mergeCell ref="H101:H107"/>
    <mergeCell ref="I101:I107"/>
    <mergeCell ref="J101:J107"/>
    <mergeCell ref="K101:K107"/>
    <mergeCell ref="E98:E99"/>
    <mergeCell ref="F98:F99"/>
    <mergeCell ref="G98:G99"/>
    <mergeCell ref="H98:H99"/>
    <mergeCell ref="I98:I99"/>
    <mergeCell ref="J98:J99"/>
    <mergeCell ref="K92:K97"/>
    <mergeCell ref="N81:N82"/>
    <mergeCell ref="O81:O82"/>
    <mergeCell ref="L92:L97"/>
    <mergeCell ref="M92:M97"/>
    <mergeCell ref="N95:N96"/>
    <mergeCell ref="O95:O96"/>
    <mergeCell ref="P81:P82"/>
    <mergeCell ref="Q81:Q82"/>
    <mergeCell ref="P95:P96"/>
    <mergeCell ref="Q95:Q96"/>
    <mergeCell ref="K86:K87"/>
    <mergeCell ref="L86:L87"/>
    <mergeCell ref="M86:M87"/>
    <mergeCell ref="E86:E87"/>
    <mergeCell ref="F86:F87"/>
    <mergeCell ref="G86:G87"/>
    <mergeCell ref="H86:H87"/>
    <mergeCell ref="I86:I87"/>
    <mergeCell ref="J86:J87"/>
    <mergeCell ref="N72:N73"/>
    <mergeCell ref="O72:O73"/>
    <mergeCell ref="P72:P73"/>
    <mergeCell ref="Q72:Q73"/>
    <mergeCell ref="N79:N80"/>
    <mergeCell ref="O79:O80"/>
    <mergeCell ref="P79:P80"/>
    <mergeCell ref="Q79:Q80"/>
    <mergeCell ref="E72:E83"/>
    <mergeCell ref="F72:F83"/>
    <mergeCell ref="G72:G83"/>
    <mergeCell ref="H72:H83"/>
    <mergeCell ref="I72:I83"/>
    <mergeCell ref="J72:J83"/>
    <mergeCell ref="K72:K83"/>
    <mergeCell ref="L72:L83"/>
    <mergeCell ref="M72:M83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K65:K66"/>
    <mergeCell ref="L65:L66"/>
    <mergeCell ref="M65:M66"/>
    <mergeCell ref="E67:E68"/>
    <mergeCell ref="F67:F68"/>
    <mergeCell ref="G67:G68"/>
    <mergeCell ref="H67:H68"/>
    <mergeCell ref="I67:I68"/>
    <mergeCell ref="J67:J68"/>
    <mergeCell ref="K67:K68"/>
    <mergeCell ref="E65:E66"/>
    <mergeCell ref="F65:F66"/>
    <mergeCell ref="G65:G66"/>
    <mergeCell ref="H65:H66"/>
    <mergeCell ref="I65:I66"/>
    <mergeCell ref="J65:J66"/>
    <mergeCell ref="L67:L68"/>
    <mergeCell ref="M67:M68"/>
    <mergeCell ref="N55:N56"/>
    <mergeCell ref="O55:O56"/>
    <mergeCell ref="P55:P56"/>
    <mergeCell ref="Q55:Q56"/>
    <mergeCell ref="E59:E64"/>
    <mergeCell ref="F59:F64"/>
    <mergeCell ref="G59:G64"/>
    <mergeCell ref="H59:H64"/>
    <mergeCell ref="I59:I64"/>
    <mergeCell ref="P59:P61"/>
    <mergeCell ref="Q59:Q61"/>
    <mergeCell ref="N62:N63"/>
    <mergeCell ref="O62:O63"/>
    <mergeCell ref="P62:P63"/>
    <mergeCell ref="Q62:Q63"/>
    <mergeCell ref="J59:J64"/>
    <mergeCell ref="K59:K64"/>
    <mergeCell ref="L59:L64"/>
    <mergeCell ref="M59:M64"/>
    <mergeCell ref="N59:N61"/>
    <mergeCell ref="O59:O61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45:N46"/>
    <mergeCell ref="O45:O46"/>
    <mergeCell ref="P45:P46"/>
    <mergeCell ref="Q45:Q46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33:N34"/>
    <mergeCell ref="O33:O34"/>
    <mergeCell ref="P33:P34"/>
    <mergeCell ref="Q33:Q34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M29:M30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G29:G30"/>
    <mergeCell ref="H29:H30"/>
    <mergeCell ref="I29:I30"/>
    <mergeCell ref="J29:J30"/>
    <mergeCell ref="K29:K30"/>
    <mergeCell ref="L29:L30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11:N12"/>
    <mergeCell ref="O11:O12"/>
    <mergeCell ref="P11:P12"/>
    <mergeCell ref="Q11:Q12"/>
    <mergeCell ref="E14:E16"/>
    <mergeCell ref="F14:F16"/>
    <mergeCell ref="G14:G16"/>
    <mergeCell ref="H14:H16"/>
    <mergeCell ref="I14:I16"/>
    <mergeCell ref="J14:J16"/>
    <mergeCell ref="Q14:Q15"/>
    <mergeCell ref="K14:K16"/>
    <mergeCell ref="L14:L16"/>
    <mergeCell ref="M14:M16"/>
    <mergeCell ref="N14:N15"/>
    <mergeCell ref="O14:O15"/>
    <mergeCell ref="P14:P15"/>
    <mergeCell ref="M7:M8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G7:G8"/>
    <mergeCell ref="H7:H8"/>
    <mergeCell ref="I7:I8"/>
    <mergeCell ref="J7:J8"/>
    <mergeCell ref="K7:K8"/>
    <mergeCell ref="L7:L8"/>
    <mergeCell ref="M2:M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G2:G3"/>
    <mergeCell ref="H2:H3"/>
    <mergeCell ref="I2:I3"/>
    <mergeCell ref="J2:J3"/>
    <mergeCell ref="K2:K3"/>
    <mergeCell ref="L2:L3"/>
    <mergeCell ref="A191:A192"/>
    <mergeCell ref="B191:B192"/>
    <mergeCell ref="C191:C192"/>
    <mergeCell ref="D191:D192"/>
    <mergeCell ref="E2:E3"/>
    <mergeCell ref="F2:F3"/>
    <mergeCell ref="E7:E8"/>
    <mergeCell ref="F7:F8"/>
    <mergeCell ref="E29:E30"/>
    <mergeCell ref="F29:F30"/>
    <mergeCell ref="A174:A177"/>
    <mergeCell ref="B174:B177"/>
    <mergeCell ref="C174:C177"/>
    <mergeCell ref="D174:D177"/>
    <mergeCell ref="A185:A186"/>
    <mergeCell ref="B185:B186"/>
    <mergeCell ref="C185:C186"/>
    <mergeCell ref="D185:D186"/>
    <mergeCell ref="A168:A169"/>
    <mergeCell ref="B168:B169"/>
    <mergeCell ref="C168:C169"/>
    <mergeCell ref="D168:D169"/>
    <mergeCell ref="A170:A173"/>
    <mergeCell ref="B170:B173"/>
    <mergeCell ref="C170:C173"/>
    <mergeCell ref="D170:D173"/>
    <mergeCell ref="A162:A163"/>
    <mergeCell ref="B162:B163"/>
    <mergeCell ref="C162:C163"/>
    <mergeCell ref="D162:D163"/>
    <mergeCell ref="A165:A167"/>
    <mergeCell ref="B165:B167"/>
    <mergeCell ref="C165:C167"/>
    <mergeCell ref="D165:D167"/>
    <mergeCell ref="A150:A154"/>
    <mergeCell ref="B150:B154"/>
    <mergeCell ref="C150:C154"/>
    <mergeCell ref="D150:D154"/>
    <mergeCell ref="A155:A157"/>
    <mergeCell ref="B155:B157"/>
    <mergeCell ref="C155:C157"/>
    <mergeCell ref="D155:D157"/>
    <mergeCell ref="A143:A145"/>
    <mergeCell ref="B143:B145"/>
    <mergeCell ref="C143:C145"/>
    <mergeCell ref="D143:D145"/>
    <mergeCell ref="A146:A149"/>
    <mergeCell ref="B146:B149"/>
    <mergeCell ref="C146:C149"/>
    <mergeCell ref="D146:D149"/>
    <mergeCell ref="A131:A137"/>
    <mergeCell ref="B131:B137"/>
    <mergeCell ref="C131:C137"/>
    <mergeCell ref="D131:D137"/>
    <mergeCell ref="A138:A142"/>
    <mergeCell ref="B138:B142"/>
    <mergeCell ref="C138:C142"/>
    <mergeCell ref="D138:D142"/>
    <mergeCell ref="A117:A121"/>
    <mergeCell ref="B117:B121"/>
    <mergeCell ref="C117:C121"/>
    <mergeCell ref="D117:D121"/>
    <mergeCell ref="A122:A130"/>
    <mergeCell ref="B122:B130"/>
    <mergeCell ref="C122:C130"/>
    <mergeCell ref="D122:D130"/>
    <mergeCell ref="A108:A109"/>
    <mergeCell ref="B108:B109"/>
    <mergeCell ref="C108:C109"/>
    <mergeCell ref="D108:D109"/>
    <mergeCell ref="A110:A112"/>
    <mergeCell ref="B110:B112"/>
    <mergeCell ref="C110:C112"/>
    <mergeCell ref="D110:D112"/>
    <mergeCell ref="A98:A99"/>
    <mergeCell ref="B98:B99"/>
    <mergeCell ref="C98:C99"/>
    <mergeCell ref="D98:D99"/>
    <mergeCell ref="A101:A107"/>
    <mergeCell ref="B101:B107"/>
    <mergeCell ref="C101:C107"/>
    <mergeCell ref="D101:D107"/>
    <mergeCell ref="A86:A87"/>
    <mergeCell ref="B86:B87"/>
    <mergeCell ref="C86:C87"/>
    <mergeCell ref="D86:D87"/>
    <mergeCell ref="A92:A97"/>
    <mergeCell ref="B92:B97"/>
    <mergeCell ref="C92:C97"/>
    <mergeCell ref="D92:D97"/>
    <mergeCell ref="A70:A71"/>
    <mergeCell ref="B70:B71"/>
    <mergeCell ref="C70:C71"/>
    <mergeCell ref="D70:D71"/>
    <mergeCell ref="A72:A83"/>
    <mergeCell ref="B72:B83"/>
    <mergeCell ref="C72:C83"/>
    <mergeCell ref="D72:D83"/>
    <mergeCell ref="A65:A66"/>
    <mergeCell ref="B65:B66"/>
    <mergeCell ref="C65:C66"/>
    <mergeCell ref="D65:D66"/>
    <mergeCell ref="A67:A68"/>
    <mergeCell ref="B67:B68"/>
    <mergeCell ref="C67:C68"/>
    <mergeCell ref="D67:D68"/>
    <mergeCell ref="A55:A56"/>
    <mergeCell ref="B55:B56"/>
    <mergeCell ref="C55:C56"/>
    <mergeCell ref="D55:D56"/>
    <mergeCell ref="A59:A64"/>
    <mergeCell ref="B59:B64"/>
    <mergeCell ref="C59:C64"/>
    <mergeCell ref="D59:D64"/>
    <mergeCell ref="A50:A51"/>
    <mergeCell ref="B50:B51"/>
    <mergeCell ref="C50:C51"/>
    <mergeCell ref="D50:D51"/>
    <mergeCell ref="A53:A54"/>
    <mergeCell ref="B53:B54"/>
    <mergeCell ref="C53:C54"/>
    <mergeCell ref="D53:D54"/>
    <mergeCell ref="A44:A46"/>
    <mergeCell ref="B44:B46"/>
    <mergeCell ref="C44:C46"/>
    <mergeCell ref="D44:D46"/>
    <mergeCell ref="A47:A48"/>
    <mergeCell ref="B47:B48"/>
    <mergeCell ref="C47:C48"/>
    <mergeCell ref="D47:D48"/>
    <mergeCell ref="A36:A38"/>
    <mergeCell ref="B36:B38"/>
    <mergeCell ref="C36:C38"/>
    <mergeCell ref="D36:D38"/>
    <mergeCell ref="A40:A42"/>
    <mergeCell ref="B40:B42"/>
    <mergeCell ref="C40:C42"/>
    <mergeCell ref="D40:D42"/>
    <mergeCell ref="A29:A30"/>
    <mergeCell ref="B29:B30"/>
    <mergeCell ref="C29:C30"/>
    <mergeCell ref="D29:D30"/>
    <mergeCell ref="A33:A35"/>
    <mergeCell ref="B33:B35"/>
    <mergeCell ref="C33:C35"/>
    <mergeCell ref="D33:D35"/>
    <mergeCell ref="A25:A26"/>
    <mergeCell ref="B25:B26"/>
    <mergeCell ref="C25:C26"/>
    <mergeCell ref="D25:D26"/>
    <mergeCell ref="A7:A8"/>
    <mergeCell ref="B7:B8"/>
    <mergeCell ref="C7:C8"/>
    <mergeCell ref="D7:D8"/>
    <mergeCell ref="A10:A13"/>
    <mergeCell ref="B10:B13"/>
    <mergeCell ref="C10:C13"/>
    <mergeCell ref="D10:D13"/>
    <mergeCell ref="A2:A3"/>
    <mergeCell ref="B2:B3"/>
    <mergeCell ref="C2:C3"/>
    <mergeCell ref="D2:D3"/>
    <mergeCell ref="A4:A5"/>
    <mergeCell ref="B4:B5"/>
    <mergeCell ref="C4:C5"/>
    <mergeCell ref="D4:D5"/>
    <mergeCell ref="A14:A16"/>
    <mergeCell ref="B14:B16"/>
    <mergeCell ref="C14:C16"/>
    <mergeCell ref="D14:D16"/>
  </mergeCells>
  <hyperlinks>
    <hyperlink ref="R2" r:id="rId1" display="Macroplastic-2019/2019-07-23_Gipsvika (1).JPG"/>
    <hyperlink ref="R8" r:id="rId2" display="https://www.iopan.pl/projects/Adamant/Macroplastic-2019/2019-07-23_Gipsvika (10).JPG"/>
    <hyperlink ref="R3" r:id="rId3" display="Macroplastic-2019\2019-07-23_Gipsvika (5).JPG"/>
    <hyperlink ref="R4:R5" r:id="rId4" display="https://www.iopan.pl/projects/Adamant/Macroplastic-2019/2019-07-23_Gipsvika (1).JPG"/>
    <hyperlink ref="R9" r:id="rId5" display="Macroplastic-2019\2019-07-23_Gipsvika (11).JPG"/>
    <hyperlink ref="R4" r:id="rId6" display="Macroplastic-2019\2019-07-23_Gipsvika (7).JPG"/>
    <hyperlink ref="R5" r:id="rId7" display="Macroplastic-2019\2019-07-23_Gipsvika (8).JPG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Staw</cp:lastModifiedBy>
  <cp:revision/>
  <dcterms:created xsi:type="dcterms:W3CDTF">2022-02-02T08:04:02Z</dcterms:created>
  <dcterms:modified xsi:type="dcterms:W3CDTF">2022-03-10T18:12:02Z</dcterms:modified>
  <cp:category/>
  <cp:contentStatus/>
</cp:coreProperties>
</file>